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2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3.xml" ContentType="application/vnd.openxmlformats-officedocument.drawing+xml"/>
  <Override PartName="/xl/ctrlProps/ctrlProp20.xml" ContentType="application/vnd.ms-excel.controlproperties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workbookProtection workbookPassword="D721" lockStructure="1"/>
  <bookViews>
    <workbookView xWindow="11985" yWindow="45" windowWidth="12030" windowHeight="14295"/>
  </bookViews>
  <sheets>
    <sheet name="Selector" sheetId="1" r:id="rId1"/>
    <sheet name="Türgewicht" sheetId="11" r:id="rId2"/>
    <sheet name="Sprache" sheetId="4" state="hidden" r:id="rId3"/>
    <sheet name="select" sheetId="2" state="veryHidden" r:id="rId4"/>
    <sheet name="Scharniere" sheetId="9" state="veryHidden" r:id="rId5"/>
    <sheet name="Montageplatten" sheetId="10" state="veryHidden" r:id="rId6"/>
    <sheet name="sort" sheetId="12" state="veryHidden" r:id="rId7"/>
  </sheets>
  <definedNames>
    <definedName name="_xlnm._FilterDatabase" localSheetId="5" hidden="1">Montageplatten!$N$1:$Z$95</definedName>
    <definedName name="Einzelne_Artikel">#REF!</definedName>
    <definedName name="tiomos110">#REF!</definedName>
  </definedNames>
  <calcPr calcId="145621"/>
</workbook>
</file>

<file path=xl/calcChain.xml><?xml version="1.0" encoding="utf-8"?>
<calcChain xmlns="http://schemas.openxmlformats.org/spreadsheetml/2006/main">
  <c r="A74" i="4" l="1"/>
  <c r="A73" i="4"/>
  <c r="A72" i="4"/>
  <c r="F12" i="10" l="1"/>
  <c r="L81" i="2" l="1"/>
  <c r="A79" i="2" s="1"/>
  <c r="A98" i="4"/>
  <c r="AK35" i="11" s="1"/>
  <c r="A97" i="4"/>
  <c r="AK26" i="11" s="1"/>
  <c r="A93" i="4"/>
  <c r="AK29" i="11" s="1"/>
  <c r="A94" i="4"/>
  <c r="AK30" i="11" s="1"/>
  <c r="A95" i="4"/>
  <c r="AK31" i="11" s="1"/>
  <c r="A96" i="4"/>
  <c r="AK33" i="11" s="1"/>
  <c r="C3" i="11" s="1"/>
  <c r="J149" i="2"/>
  <c r="H142" i="2"/>
  <c r="H143" i="2"/>
  <c r="H144" i="2"/>
  <c r="H145" i="2"/>
  <c r="H146" i="2"/>
  <c r="B2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1" i="12"/>
  <c r="A99" i="4"/>
  <c r="C142" i="2" s="1"/>
  <c r="G142" i="2" s="1"/>
  <c r="A100" i="4"/>
  <c r="C143" i="2" s="1"/>
  <c r="G143" i="2" s="1"/>
  <c r="A101" i="4"/>
  <c r="C144" i="2" s="1"/>
  <c r="G144" i="2" s="1"/>
  <c r="A102" i="4"/>
  <c r="C145" i="2" s="1"/>
  <c r="G145" i="2" s="1"/>
  <c r="A103" i="4"/>
  <c r="C146" i="2" s="1"/>
  <c r="G146" i="2" s="1"/>
  <c r="A104" i="4"/>
  <c r="C147" i="2" s="1"/>
  <c r="A1" i="12" s="1"/>
  <c r="A105" i="4"/>
  <c r="C148" i="2" s="1"/>
  <c r="A2" i="12" s="1"/>
  <c r="A106" i="4"/>
  <c r="C149" i="2" s="1"/>
  <c r="A3" i="12" s="1"/>
  <c r="A107" i="4"/>
  <c r="C150" i="2" s="1"/>
  <c r="A4" i="12" s="1"/>
  <c r="A108" i="4"/>
  <c r="C151" i="2" s="1"/>
  <c r="A5" i="12" s="1"/>
  <c r="A109" i="4"/>
  <c r="C152" i="2" s="1"/>
  <c r="A6" i="12" s="1"/>
  <c r="A110" i="4"/>
  <c r="C153" i="2" s="1"/>
  <c r="A7" i="12" s="1"/>
  <c r="A111" i="4"/>
  <c r="C154" i="2" s="1"/>
  <c r="A8" i="12" s="1"/>
  <c r="A112" i="4"/>
  <c r="C155" i="2" s="1"/>
  <c r="A9" i="12" s="1"/>
  <c r="A113" i="4"/>
  <c r="C156" i="2" s="1"/>
  <c r="A10" i="12" s="1"/>
  <c r="A114" i="4"/>
  <c r="C157" i="2" s="1"/>
  <c r="A11" i="12" s="1"/>
  <c r="A115" i="4"/>
  <c r="C158" i="2" s="1"/>
  <c r="A12" i="12" s="1"/>
  <c r="A116" i="4"/>
  <c r="C159" i="2" s="1"/>
  <c r="A13" i="12" s="1"/>
  <c r="A117" i="4"/>
  <c r="C160" i="2" s="1"/>
  <c r="A14" i="12" s="1"/>
  <c r="A118" i="4"/>
  <c r="C161" i="2" s="1"/>
  <c r="A15" i="12" s="1"/>
  <c r="A119" i="4"/>
  <c r="C162" i="2" s="1"/>
  <c r="A16" i="12" s="1"/>
  <c r="A120" i="4"/>
  <c r="C163" i="2" s="1"/>
  <c r="A17" i="12" s="1"/>
  <c r="A121" i="4"/>
  <c r="C164" i="2" s="1"/>
  <c r="A18" i="12" s="1"/>
  <c r="A122" i="4"/>
  <c r="C165" i="2" s="1"/>
  <c r="A19" i="12" s="1"/>
  <c r="A123" i="4"/>
  <c r="C166" i="2" s="1"/>
  <c r="A20" i="12" s="1"/>
  <c r="A124" i="4"/>
  <c r="C167" i="2" s="1"/>
  <c r="A21" i="12" s="1"/>
  <c r="A125" i="4"/>
  <c r="C168" i="2" s="1"/>
  <c r="A22" i="12" s="1"/>
  <c r="A126" i="4"/>
  <c r="C169" i="2" s="1"/>
  <c r="A23" i="12" s="1"/>
  <c r="A127" i="4"/>
  <c r="C170" i="2" s="1"/>
  <c r="A24" i="12" s="1"/>
  <c r="A128" i="4"/>
  <c r="C171" i="2" s="1"/>
  <c r="A25" i="12" s="1"/>
  <c r="A129" i="4"/>
  <c r="C172" i="2" s="1"/>
  <c r="A26" i="12" s="1"/>
  <c r="A130" i="4"/>
  <c r="C173" i="2" s="1"/>
  <c r="A27" i="12" s="1"/>
  <c r="A131" i="4"/>
  <c r="C174" i="2" s="1"/>
  <c r="A28" i="12" s="1"/>
  <c r="A132" i="4"/>
  <c r="C175" i="2" s="1"/>
  <c r="A29" i="12" s="1"/>
  <c r="A133" i="4"/>
  <c r="C176" i="2" s="1"/>
  <c r="A30" i="12" s="1"/>
  <c r="A134" i="4"/>
  <c r="C177" i="2" s="1"/>
  <c r="A31" i="12" s="1"/>
  <c r="A135" i="4"/>
  <c r="C178" i="2" s="1"/>
  <c r="A32" i="12" s="1"/>
  <c r="A136" i="4"/>
  <c r="C179" i="2" s="1"/>
  <c r="A33" i="12" s="1"/>
  <c r="A137" i="4"/>
  <c r="C180" i="2" s="1"/>
  <c r="A34" i="12" s="1"/>
  <c r="A138" i="4"/>
  <c r="C181" i="2" s="1"/>
  <c r="A35" i="12" s="1"/>
  <c r="A139" i="4"/>
  <c r="C182" i="2" s="1"/>
  <c r="A36" i="12" s="1"/>
  <c r="A140" i="4"/>
  <c r="C183" i="2" s="1"/>
  <c r="A37" i="12" s="1"/>
  <c r="A141" i="4"/>
  <c r="C184" i="2" s="1"/>
  <c r="A38" i="12" s="1"/>
  <c r="A142" i="4"/>
  <c r="C185" i="2" s="1"/>
  <c r="A39" i="12" l="1"/>
  <c r="C39" i="12" s="1" a="1"/>
  <c r="C39" i="12" s="1"/>
  <c r="C4" i="12" l="1" a="1"/>
  <c r="C4" i="12" s="1"/>
  <c r="C15" i="12" a="1"/>
  <c r="C15" i="12" s="1"/>
  <c r="C24" i="12" a="1"/>
  <c r="C24" i="12" s="1"/>
  <c r="C5" i="12" a="1"/>
  <c r="C5" i="12" s="1"/>
  <c r="C16" i="12" a="1"/>
  <c r="C16" i="12" s="1"/>
  <c r="C19" i="12" a="1"/>
  <c r="C19" i="12" s="1"/>
  <c r="C12" i="12" a="1"/>
  <c r="C12" i="12" s="1"/>
  <c r="C30" i="12" a="1"/>
  <c r="C30" i="12" s="1"/>
  <c r="C1" i="12" a="1"/>
  <c r="C1" i="12" s="1"/>
  <c r="C9" i="12" a="1"/>
  <c r="C9" i="12" s="1"/>
  <c r="C23" i="12" a="1"/>
  <c r="C23" i="12" s="1"/>
  <c r="C20" i="12" a="1"/>
  <c r="C20" i="12" s="1"/>
  <c r="C31" i="12" a="1"/>
  <c r="C31" i="12" s="1"/>
  <c r="C8" i="12" a="1"/>
  <c r="C8" i="12" s="1"/>
  <c r="C10" i="12" a="1"/>
  <c r="C10" i="12" s="1"/>
  <c r="C22" i="12" a="1"/>
  <c r="C22" i="12" s="1"/>
  <c r="C14" i="12" a="1"/>
  <c r="C14" i="12" s="1"/>
  <c r="C3" i="12" a="1"/>
  <c r="C3" i="12" s="1"/>
  <c r="C13" i="12" a="1"/>
  <c r="C13" i="12" s="1"/>
  <c r="C38" i="12" a="1"/>
  <c r="C38" i="12" s="1"/>
  <c r="C18" i="12" a="1"/>
  <c r="C18" i="12" s="1"/>
  <c r="C25" i="12" a="1"/>
  <c r="C25" i="12" s="1"/>
  <c r="C35" i="12" a="1"/>
  <c r="C35" i="12" s="1"/>
  <c r="C37" i="12" a="1"/>
  <c r="C37" i="12" s="1"/>
  <c r="C2" i="12" a="1"/>
  <c r="C2" i="12" s="1"/>
  <c r="C21" i="12" a="1"/>
  <c r="C21" i="12" s="1"/>
  <c r="C7" i="12" a="1"/>
  <c r="C7" i="12" s="1"/>
  <c r="C17" i="12" a="1"/>
  <c r="C17" i="12" s="1"/>
  <c r="C34" i="12" a="1"/>
  <c r="C34" i="12" s="1"/>
  <c r="C26" i="12" a="1"/>
  <c r="C26" i="12" s="1"/>
  <c r="C6" i="12" a="1"/>
  <c r="C6" i="12" s="1"/>
  <c r="C28" i="12" a="1"/>
  <c r="C28" i="12" s="1"/>
  <c r="C32" i="12" a="1"/>
  <c r="C32" i="12" s="1"/>
  <c r="C33" i="12" a="1"/>
  <c r="C33" i="12" s="1"/>
  <c r="C11" i="12" a="1"/>
  <c r="C11" i="12" s="1"/>
  <c r="C29" i="12" a="1"/>
  <c r="C29" i="12" s="1"/>
  <c r="C36" i="12" a="1"/>
  <c r="C36" i="12" s="1"/>
  <c r="C27" i="12" a="1"/>
  <c r="C27" i="12" s="1"/>
  <c r="A80" i="4" l="1"/>
  <c r="AK8" i="11" s="1"/>
  <c r="A81" i="4"/>
  <c r="AK9" i="11" s="1"/>
  <c r="A82" i="4"/>
  <c r="AK10" i="11" s="1"/>
  <c r="A83" i="4"/>
  <c r="AK12" i="11" s="1"/>
  <c r="A84" i="4"/>
  <c r="AK13" i="11" s="1"/>
  <c r="A85" i="4"/>
  <c r="AK14" i="11" s="1"/>
  <c r="A86" i="4"/>
  <c r="AK15" i="11" s="1"/>
  <c r="A87" i="4"/>
  <c r="AK17" i="11" s="1"/>
  <c r="A88" i="4"/>
  <c r="AK18" i="11" s="1"/>
  <c r="A89" i="4"/>
  <c r="AK19" i="11" s="1"/>
  <c r="A90" i="4"/>
  <c r="AK20" i="11" s="1"/>
  <c r="A91" i="4"/>
  <c r="AK22" i="11" s="1"/>
  <c r="A92" i="4"/>
  <c r="AK23" i="11" s="1"/>
  <c r="A76" i="4"/>
  <c r="F36" i="11" s="1"/>
  <c r="A77" i="4"/>
  <c r="C7" i="11" s="1"/>
  <c r="A78" i="4"/>
  <c r="Y23" i="11" s="1"/>
  <c r="A79" i="4"/>
  <c r="F2" i="10"/>
  <c r="F3" i="10"/>
  <c r="F4" i="10"/>
  <c r="F5" i="10"/>
  <c r="F6" i="10"/>
  <c r="F7" i="10"/>
  <c r="F8" i="10"/>
  <c r="F9" i="10"/>
  <c r="F10" i="10"/>
  <c r="F11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E32" i="12"/>
  <c r="E7" i="12"/>
  <c r="F26" i="12" a="1"/>
  <c r="E11" i="12"/>
  <c r="F33" i="12" a="1"/>
  <c r="E35" i="12"/>
  <c r="F6" i="12" a="1"/>
  <c r="E30" i="12"/>
  <c r="E2" i="12"/>
  <c r="E39" i="12"/>
  <c r="E24" i="12"/>
  <c r="E22" i="12"/>
  <c r="E29" i="12"/>
  <c r="E36" i="12"/>
  <c r="E27" i="12"/>
  <c r="E12" i="12"/>
  <c r="F35" i="12" a="1"/>
  <c r="E5" i="12"/>
  <c r="F14" i="12" a="1"/>
  <c r="F3" i="12" a="1"/>
  <c r="E33" i="12"/>
  <c r="E25" i="12"/>
  <c r="F2" i="12" a="1"/>
  <c r="F18" i="12" a="1"/>
  <c r="F25" i="12" a="1"/>
  <c r="F32" i="12" a="1"/>
  <c r="E4" i="12"/>
  <c r="F30" i="12" a="1"/>
  <c r="E23" i="12"/>
  <c r="E17" i="12"/>
  <c r="E26" i="12"/>
  <c r="F4" i="12" a="1"/>
  <c r="F29" i="12" a="1"/>
  <c r="E1" i="12"/>
  <c r="F37" i="12" a="1"/>
  <c r="F23" i="12" a="1"/>
  <c r="F31" i="12" a="1"/>
  <c r="E21" i="12"/>
  <c r="E34" i="12"/>
  <c r="F24" i="12" a="1"/>
  <c r="E28" i="12"/>
  <c r="E6" i="12"/>
  <c r="F15" i="12" a="1"/>
  <c r="F11" i="12" a="1"/>
  <c r="F10" i="12" a="1"/>
  <c r="E14" i="12"/>
  <c r="F20" i="12" a="1"/>
  <c r="F5" i="12" a="1"/>
  <c r="E13" i="12"/>
  <c r="F19" i="12" a="1"/>
  <c r="E10" i="12"/>
  <c r="E9" i="12"/>
  <c r="F8" i="12" a="1"/>
  <c r="F1" i="12" a="1"/>
  <c r="F28" i="12" a="1"/>
  <c r="E20" i="12"/>
  <c r="E37" i="12"/>
  <c r="F17" i="12" a="1"/>
  <c r="F34" i="12" a="1"/>
  <c r="F36" i="12" a="1"/>
  <c r="F27" i="12" a="1"/>
  <c r="F38" i="12" a="1"/>
  <c r="F21" i="12" a="1"/>
  <c r="F39" i="12" a="1"/>
  <c r="F22" i="12" a="1"/>
  <c r="F7" i="12" a="1"/>
  <c r="F12" i="12" a="1"/>
  <c r="E3" i="12"/>
  <c r="F13" i="12" a="1"/>
  <c r="E16" i="12"/>
  <c r="E18" i="12"/>
  <c r="E38" i="12"/>
  <c r="E15" i="12"/>
  <c r="E19" i="12"/>
  <c r="E31" i="12"/>
  <c r="F9" i="12" a="1"/>
  <c r="E8" i="12"/>
  <c r="F16" i="12" a="1"/>
  <c r="G160" i="2" l="1"/>
  <c r="F5" i="12"/>
  <c r="H151" i="2" s="1"/>
  <c r="G172" i="2"/>
  <c r="G166" i="2"/>
  <c r="G176" i="2"/>
  <c r="F1" i="12"/>
  <c r="H147" i="2" s="1"/>
  <c r="F29" i="12"/>
  <c r="H175" i="2" s="1"/>
  <c r="F33" i="12"/>
  <c r="H179" i="2" s="1"/>
  <c r="F27" i="12"/>
  <c r="H173" i="2" s="1"/>
  <c r="F22" i="12"/>
  <c r="H168" i="2" s="1"/>
  <c r="G147" i="2"/>
  <c r="G162" i="2"/>
  <c r="G173" i="2"/>
  <c r="G152" i="2"/>
  <c r="G178" i="2"/>
  <c r="F13" i="12"/>
  <c r="H159" i="2" s="1"/>
  <c r="F24" i="12"/>
  <c r="H170" i="2" s="1"/>
  <c r="F20" i="12"/>
  <c r="H166" i="2" s="1"/>
  <c r="F21" i="12"/>
  <c r="H167" i="2" s="1"/>
  <c r="F25" i="12"/>
  <c r="H171" i="2" s="1"/>
  <c r="G171" i="2"/>
  <c r="F18" i="12"/>
  <c r="H164" i="2" s="1"/>
  <c r="G151" i="2"/>
  <c r="G177" i="2"/>
  <c r="F23" i="12"/>
  <c r="H169" i="2" s="1"/>
  <c r="F17" i="12"/>
  <c r="H163" i="2" s="1"/>
  <c r="G170" i="2"/>
  <c r="F26" i="12"/>
  <c r="H172" i="2" s="1"/>
  <c r="F15" i="12"/>
  <c r="H161" i="2" s="1"/>
  <c r="G169" i="2"/>
  <c r="G158" i="2"/>
  <c r="F14" i="12"/>
  <c r="H160" i="2" s="1"/>
  <c r="F10" i="12"/>
  <c r="H156" i="2" s="1"/>
  <c r="F38" i="12"/>
  <c r="H184" i="2" s="1"/>
  <c r="F11" i="12"/>
  <c r="H157" i="2" s="1"/>
  <c r="G168" i="2"/>
  <c r="G148" i="2"/>
  <c r="F37" i="12"/>
  <c r="H183" i="2" s="1"/>
  <c r="G184" i="2"/>
  <c r="F9" i="12"/>
  <c r="H155" i="2" s="1"/>
  <c r="K149" i="2" s="1"/>
  <c r="L149" i="2" s="1"/>
  <c r="AQ33" i="11" s="1"/>
  <c r="J161" i="2" s="1"/>
  <c r="J162" i="2" s="1"/>
  <c r="AQ35" i="11" s="1"/>
  <c r="F12" i="12"/>
  <c r="H158" i="2" s="1"/>
  <c r="G175" i="2"/>
  <c r="G183" i="2"/>
  <c r="F16" i="12"/>
  <c r="H162" i="2" s="1"/>
  <c r="G167" i="2"/>
  <c r="G153" i="2"/>
  <c r="G165" i="2"/>
  <c r="G182" i="2"/>
  <c r="G174" i="2"/>
  <c r="G163" i="2"/>
  <c r="G181" i="2"/>
  <c r="F28" i="12"/>
  <c r="H174" i="2" s="1"/>
  <c r="F39" i="12"/>
  <c r="H185" i="2" s="1"/>
  <c r="F7" i="12"/>
  <c r="H153" i="2" s="1"/>
  <c r="F6" i="12"/>
  <c r="H152" i="2" s="1"/>
  <c r="F34" i="12"/>
  <c r="H180" i="2" s="1"/>
  <c r="G157" i="2"/>
  <c r="F31" i="12"/>
  <c r="H177" i="2" s="1"/>
  <c r="G150" i="2"/>
  <c r="G149" i="2"/>
  <c r="G164" i="2"/>
  <c r="F19" i="12"/>
  <c r="H165" i="2" s="1"/>
  <c r="G180" i="2"/>
  <c r="G156" i="2"/>
  <c r="F36" i="12"/>
  <c r="H182" i="2" s="1"/>
  <c r="F8" i="12"/>
  <c r="H154" i="2" s="1"/>
  <c r="G155" i="2"/>
  <c r="F32" i="12"/>
  <c r="H178" i="2" s="1"/>
  <c r="G179" i="2"/>
  <c r="G154" i="2"/>
  <c r="G185" i="2"/>
  <c r="G159" i="2"/>
  <c r="G161" i="2"/>
  <c r="F4" i="12"/>
  <c r="H150" i="2" s="1"/>
  <c r="F3" i="12"/>
  <c r="H149" i="2" s="1"/>
  <c r="F35" i="12"/>
  <c r="H181" i="2" s="1"/>
  <c r="F30" i="12"/>
  <c r="H176" i="2" s="1"/>
  <c r="F2" i="12"/>
  <c r="H148" i="2" s="1"/>
  <c r="E114" i="2"/>
  <c r="F114" i="2"/>
  <c r="D114" i="2"/>
  <c r="A98" i="2"/>
  <c r="H2" i="9"/>
  <c r="H3" i="9"/>
  <c r="H4" i="9"/>
  <c r="H5" i="9"/>
  <c r="H6" i="9"/>
  <c r="H7" i="9"/>
  <c r="H8" i="9"/>
  <c r="H9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24" i="9"/>
  <c r="H25" i="9"/>
  <c r="H26" i="9"/>
  <c r="H27" i="9"/>
  <c r="H28" i="9"/>
  <c r="H29" i="9"/>
  <c r="H30" i="9"/>
  <c r="H31" i="9"/>
  <c r="H32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155" i="9"/>
  <c r="H156" i="9"/>
  <c r="H157" i="9"/>
  <c r="H158" i="9"/>
  <c r="H159" i="9"/>
  <c r="H160" i="9"/>
  <c r="H161" i="9"/>
  <c r="H162" i="9"/>
  <c r="H163" i="9"/>
  <c r="H164" i="9"/>
  <c r="H165" i="9"/>
  <c r="H166" i="9"/>
  <c r="H167" i="9"/>
  <c r="H168" i="9"/>
  <c r="H169" i="9"/>
  <c r="H170" i="9"/>
  <c r="H171" i="9"/>
  <c r="H172" i="9"/>
  <c r="H173" i="9"/>
  <c r="H174" i="9"/>
  <c r="H175" i="9"/>
  <c r="H176" i="9"/>
  <c r="H177" i="9"/>
  <c r="H178" i="9"/>
  <c r="H179" i="9"/>
  <c r="H180" i="9"/>
  <c r="H181" i="9"/>
  <c r="H182" i="9"/>
  <c r="H183" i="9"/>
  <c r="H184" i="9"/>
  <c r="H185" i="9"/>
  <c r="H186" i="9"/>
  <c r="H187" i="9"/>
  <c r="H188" i="9"/>
  <c r="H189" i="9"/>
  <c r="H190" i="9"/>
  <c r="H191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31" i="9"/>
  <c r="H232" i="9"/>
  <c r="H233" i="9"/>
  <c r="H234" i="9"/>
  <c r="H235" i="9"/>
  <c r="H236" i="9"/>
  <c r="H237" i="9"/>
  <c r="H238" i="9"/>
  <c r="H239" i="9"/>
  <c r="H240" i="9"/>
  <c r="H241" i="9"/>
  <c r="H242" i="9"/>
  <c r="H243" i="9"/>
  <c r="H244" i="9"/>
  <c r="H245" i="9"/>
  <c r="H246" i="9"/>
  <c r="H247" i="9"/>
  <c r="H248" i="9"/>
  <c r="H249" i="9"/>
  <c r="H250" i="9"/>
  <c r="H251" i="9"/>
  <c r="H252" i="9"/>
  <c r="H253" i="9"/>
  <c r="H254" i="9"/>
  <c r="H255" i="9"/>
  <c r="H256" i="9"/>
  <c r="H257" i="9"/>
  <c r="H258" i="9"/>
  <c r="H259" i="9"/>
  <c r="H260" i="9"/>
  <c r="H261" i="9"/>
  <c r="H262" i="9"/>
  <c r="H263" i="9"/>
  <c r="H264" i="9"/>
  <c r="H265" i="9"/>
  <c r="H266" i="9"/>
  <c r="H267" i="9"/>
  <c r="H268" i="9"/>
  <c r="H269" i="9"/>
  <c r="H270" i="9"/>
  <c r="H271" i="9"/>
  <c r="H272" i="9"/>
  <c r="H273" i="9"/>
  <c r="H274" i="9"/>
  <c r="H275" i="9"/>
  <c r="H276" i="9"/>
  <c r="H277" i="9"/>
  <c r="H278" i="9"/>
  <c r="H279" i="9"/>
  <c r="H280" i="9"/>
  <c r="H281" i="9"/>
  <c r="H282" i="9"/>
  <c r="H283" i="9"/>
  <c r="H284" i="9"/>
  <c r="H285" i="9"/>
  <c r="H286" i="9"/>
  <c r="H287" i="9"/>
  <c r="H288" i="9"/>
  <c r="H289" i="9"/>
  <c r="H290" i="9"/>
  <c r="H291" i="9"/>
  <c r="H292" i="9"/>
  <c r="H293" i="9"/>
  <c r="H294" i="9"/>
  <c r="H295" i="9"/>
  <c r="H296" i="9"/>
  <c r="H297" i="9"/>
  <c r="H298" i="9"/>
  <c r="H299" i="9"/>
  <c r="H300" i="9"/>
  <c r="H301" i="9"/>
  <c r="H302" i="9"/>
  <c r="H303" i="9"/>
  <c r="H304" i="9"/>
  <c r="H305" i="9"/>
  <c r="H306" i="9"/>
  <c r="H307" i="9"/>
  <c r="H308" i="9"/>
  <c r="H309" i="9"/>
  <c r="H310" i="9"/>
  <c r="H311" i="9"/>
  <c r="H312" i="9"/>
  <c r="H313" i="9"/>
  <c r="H314" i="9"/>
  <c r="H315" i="9"/>
  <c r="H316" i="9"/>
  <c r="H317" i="9"/>
  <c r="H318" i="9"/>
  <c r="H319" i="9"/>
  <c r="H320" i="9"/>
  <c r="H321" i="9"/>
  <c r="H322" i="9"/>
  <c r="H323" i="9"/>
  <c r="H324" i="9"/>
  <c r="H325" i="9"/>
  <c r="H326" i="9"/>
  <c r="H327" i="9"/>
  <c r="H328" i="9"/>
  <c r="H329" i="9"/>
  <c r="H330" i="9"/>
  <c r="H331" i="9"/>
  <c r="H332" i="9"/>
  <c r="H333" i="9"/>
  <c r="H334" i="9"/>
  <c r="H335" i="9"/>
  <c r="H336" i="9"/>
  <c r="H337" i="9"/>
  <c r="H338" i="9"/>
  <c r="H339" i="9"/>
  <c r="H340" i="9"/>
  <c r="H341" i="9"/>
  <c r="H342" i="9"/>
  <c r="H343" i="9"/>
  <c r="H344" i="9"/>
  <c r="H345" i="9"/>
  <c r="H346" i="9"/>
  <c r="H347" i="9"/>
  <c r="H348" i="9"/>
  <c r="H349" i="9"/>
  <c r="H350" i="9"/>
  <c r="H351" i="9"/>
  <c r="H352" i="9"/>
  <c r="H353" i="9"/>
  <c r="H354" i="9"/>
  <c r="H355" i="9"/>
  <c r="H356" i="9"/>
  <c r="H357" i="9"/>
  <c r="H358" i="9"/>
  <c r="H359" i="9"/>
  <c r="H360" i="9"/>
  <c r="H361" i="9"/>
  <c r="H362" i="9"/>
  <c r="H363" i="9"/>
  <c r="H364" i="9"/>
  <c r="H365" i="9"/>
  <c r="H366" i="9"/>
  <c r="H367" i="9"/>
  <c r="H368" i="9"/>
  <c r="H369" i="9"/>
  <c r="H370" i="9"/>
  <c r="H371" i="9"/>
  <c r="H372" i="9"/>
  <c r="H373" i="9"/>
  <c r="H374" i="9"/>
  <c r="H375" i="9"/>
  <c r="H376" i="9"/>
  <c r="H377" i="9"/>
  <c r="H378" i="9"/>
  <c r="H379" i="9"/>
  <c r="H380" i="9"/>
  <c r="H381" i="9"/>
  <c r="H382" i="9"/>
  <c r="H383" i="9"/>
  <c r="H384" i="9"/>
  <c r="H385" i="9"/>
  <c r="H386" i="9"/>
  <c r="H387" i="9"/>
  <c r="H388" i="9"/>
  <c r="H389" i="9"/>
  <c r="H390" i="9"/>
  <c r="H391" i="9"/>
  <c r="H392" i="9"/>
  <c r="H393" i="9"/>
  <c r="H394" i="9"/>
  <c r="H395" i="9"/>
  <c r="H396" i="9"/>
  <c r="H397" i="9"/>
  <c r="H398" i="9"/>
  <c r="H399" i="9"/>
  <c r="H400" i="9"/>
  <c r="H401" i="9"/>
  <c r="H402" i="9"/>
  <c r="H403" i="9"/>
  <c r="H404" i="9"/>
  <c r="H405" i="9"/>
  <c r="H406" i="9"/>
  <c r="H407" i="9"/>
  <c r="H408" i="9"/>
  <c r="H409" i="9"/>
  <c r="H410" i="9"/>
  <c r="H411" i="9"/>
  <c r="H412" i="9"/>
  <c r="H413" i="9"/>
  <c r="H414" i="9"/>
  <c r="H415" i="9"/>
  <c r="H416" i="9"/>
  <c r="H417" i="9"/>
  <c r="H418" i="9"/>
  <c r="H419" i="9"/>
  <c r="H420" i="9"/>
  <c r="H421" i="9"/>
  <c r="H422" i="9"/>
  <c r="H423" i="9"/>
  <c r="H424" i="9"/>
  <c r="H425" i="9"/>
  <c r="H426" i="9"/>
  <c r="H427" i="9"/>
  <c r="H428" i="9"/>
  <c r="H429" i="9"/>
  <c r="H430" i="9"/>
  <c r="H431" i="9"/>
  <c r="H432" i="9"/>
  <c r="H433" i="9"/>
  <c r="H434" i="9"/>
  <c r="H435" i="9"/>
  <c r="H436" i="9"/>
  <c r="H437" i="9"/>
  <c r="H438" i="9"/>
  <c r="H439" i="9"/>
  <c r="H440" i="9"/>
  <c r="H441" i="9"/>
  <c r="H442" i="9"/>
  <c r="H443" i="9"/>
  <c r="H444" i="9"/>
  <c r="H445" i="9"/>
  <c r="H446" i="9"/>
  <c r="H447" i="9"/>
  <c r="H448" i="9"/>
  <c r="H449" i="9"/>
  <c r="H450" i="9"/>
  <c r="H451" i="9"/>
  <c r="H452" i="9"/>
  <c r="H453" i="9"/>
  <c r="H454" i="9"/>
  <c r="H455" i="9"/>
  <c r="H456" i="9"/>
  <c r="H457" i="9"/>
  <c r="H458" i="9"/>
  <c r="H459" i="9"/>
  <c r="H460" i="9"/>
  <c r="H461" i="9"/>
  <c r="H462" i="9"/>
  <c r="H463" i="9"/>
  <c r="H464" i="9"/>
  <c r="H465" i="9"/>
  <c r="H466" i="9"/>
  <c r="H467" i="9"/>
  <c r="H468" i="9"/>
  <c r="H469" i="9"/>
  <c r="H470" i="9"/>
  <c r="H471" i="9"/>
  <c r="H472" i="9"/>
  <c r="H473" i="9"/>
  <c r="H474" i="9"/>
  <c r="H475" i="9"/>
  <c r="H476" i="9"/>
  <c r="H477" i="9"/>
  <c r="H478" i="9"/>
  <c r="H479" i="9"/>
  <c r="H480" i="9"/>
  <c r="H481" i="9"/>
  <c r="H482" i="9"/>
  <c r="H483" i="9"/>
  <c r="H484" i="9"/>
  <c r="H485" i="9"/>
  <c r="H486" i="9"/>
  <c r="H487" i="9"/>
  <c r="H488" i="9"/>
  <c r="H489" i="9"/>
  <c r="H490" i="9"/>
  <c r="H491" i="9"/>
  <c r="H492" i="9"/>
  <c r="H493" i="9"/>
  <c r="H494" i="9"/>
  <c r="H495" i="9"/>
  <c r="H496" i="9"/>
  <c r="H497" i="9"/>
  <c r="H498" i="9"/>
  <c r="H499" i="9"/>
  <c r="H500" i="9"/>
  <c r="H501" i="9"/>
  <c r="H502" i="9"/>
  <c r="H503" i="9"/>
  <c r="H504" i="9"/>
  <c r="H505" i="9"/>
  <c r="H506" i="9"/>
  <c r="H507" i="9"/>
  <c r="H508" i="9"/>
  <c r="H509" i="9"/>
  <c r="H510" i="9"/>
  <c r="H511" i="9"/>
  <c r="H512" i="9"/>
  <c r="H513" i="9"/>
  <c r="H514" i="9"/>
  <c r="H515" i="9"/>
  <c r="H516" i="9"/>
  <c r="H517" i="9"/>
  <c r="H518" i="9"/>
  <c r="H519" i="9"/>
  <c r="H520" i="9"/>
  <c r="H521" i="9"/>
  <c r="H522" i="9"/>
  <c r="H523" i="9"/>
  <c r="H524" i="9"/>
  <c r="H525" i="9"/>
  <c r="H526" i="9"/>
  <c r="H527" i="9"/>
  <c r="H528" i="9"/>
  <c r="H529" i="9"/>
  <c r="H530" i="9"/>
  <c r="H531" i="9"/>
  <c r="H532" i="9"/>
  <c r="H533" i="9"/>
  <c r="H534" i="9"/>
  <c r="H535" i="9"/>
  <c r="H536" i="9"/>
  <c r="H537" i="9"/>
  <c r="H538" i="9"/>
  <c r="H539" i="9"/>
  <c r="H540" i="9"/>
  <c r="H541" i="9"/>
  <c r="H542" i="9"/>
  <c r="H543" i="9"/>
  <c r="H544" i="9"/>
  <c r="H545" i="9"/>
  <c r="H546" i="9"/>
  <c r="H547" i="9"/>
  <c r="H548" i="9"/>
  <c r="H549" i="9"/>
  <c r="H550" i="9"/>
  <c r="H551" i="9"/>
  <c r="H552" i="9"/>
  <c r="H553" i="9"/>
  <c r="H554" i="9"/>
  <c r="H555" i="9"/>
  <c r="H556" i="9"/>
  <c r="H557" i="9"/>
  <c r="H558" i="9"/>
  <c r="H559" i="9"/>
  <c r="H560" i="9"/>
  <c r="H561" i="9"/>
  <c r="H562" i="9"/>
  <c r="H563" i="9"/>
  <c r="H564" i="9"/>
  <c r="H565" i="9"/>
  <c r="H566" i="9"/>
  <c r="H567" i="9"/>
  <c r="H568" i="9"/>
  <c r="H569" i="9"/>
  <c r="H570" i="9"/>
  <c r="H571" i="9"/>
  <c r="H572" i="9"/>
  <c r="H573" i="9"/>
  <c r="H574" i="9"/>
  <c r="H575" i="9"/>
  <c r="H576" i="9"/>
  <c r="H577" i="9"/>
  <c r="H578" i="9"/>
  <c r="H579" i="9"/>
  <c r="H580" i="9"/>
  <c r="H581" i="9"/>
  <c r="H582" i="9"/>
  <c r="H583" i="9"/>
  <c r="H584" i="9"/>
  <c r="H585" i="9"/>
  <c r="H586" i="9"/>
  <c r="H587" i="9"/>
  <c r="H588" i="9"/>
  <c r="H589" i="9"/>
  <c r="H590" i="9"/>
  <c r="H591" i="9"/>
  <c r="H592" i="9"/>
  <c r="H593" i="9"/>
  <c r="H594" i="9"/>
  <c r="H595" i="9"/>
  <c r="H596" i="9"/>
  <c r="H597" i="9"/>
  <c r="H598" i="9"/>
  <c r="H599" i="9"/>
  <c r="H600" i="9"/>
  <c r="H601" i="9"/>
  <c r="H602" i="9"/>
  <c r="H603" i="9"/>
  <c r="H604" i="9"/>
  <c r="H605" i="9"/>
  <c r="H606" i="9"/>
  <c r="H607" i="9"/>
  <c r="H608" i="9"/>
  <c r="H609" i="9"/>
  <c r="H610" i="9"/>
  <c r="H611" i="9"/>
  <c r="H612" i="9"/>
  <c r="H613" i="9"/>
  <c r="H614" i="9"/>
  <c r="H615" i="9"/>
  <c r="H616" i="9"/>
  <c r="H617" i="9"/>
  <c r="H618" i="9"/>
  <c r="H619" i="9"/>
  <c r="H620" i="9"/>
  <c r="H621" i="9"/>
  <c r="H622" i="9"/>
  <c r="H623" i="9"/>
  <c r="H624" i="9"/>
  <c r="H625" i="9"/>
  <c r="H626" i="9"/>
  <c r="H627" i="9"/>
  <c r="H628" i="9"/>
  <c r="H629" i="9"/>
  <c r="H630" i="9"/>
  <c r="H631" i="9"/>
  <c r="H632" i="9"/>
  <c r="H633" i="9"/>
  <c r="H634" i="9"/>
  <c r="H635" i="9"/>
  <c r="H636" i="9"/>
  <c r="H637" i="9"/>
  <c r="H638" i="9"/>
  <c r="H639" i="9"/>
  <c r="H640" i="9"/>
  <c r="H641" i="9"/>
  <c r="H642" i="9"/>
  <c r="H643" i="9"/>
  <c r="H644" i="9"/>
  <c r="H645" i="9"/>
  <c r="H646" i="9"/>
  <c r="H647" i="9"/>
  <c r="H648" i="9"/>
  <c r="H649" i="9"/>
  <c r="H650" i="9"/>
  <c r="H651" i="9"/>
  <c r="H652" i="9"/>
  <c r="H653" i="9"/>
  <c r="H654" i="9"/>
  <c r="H655" i="9"/>
  <c r="H656" i="9"/>
  <c r="H657" i="9"/>
  <c r="H658" i="9"/>
  <c r="H659" i="9"/>
  <c r="H660" i="9"/>
  <c r="H661" i="9"/>
  <c r="H662" i="9"/>
  <c r="H663" i="9"/>
  <c r="H664" i="9"/>
  <c r="H665" i="9"/>
  <c r="H666" i="9"/>
  <c r="H667" i="9"/>
  <c r="H668" i="9"/>
  <c r="H669" i="9"/>
  <c r="H670" i="9"/>
  <c r="H671" i="9"/>
  <c r="H672" i="9"/>
  <c r="H673" i="9"/>
  <c r="H674" i="9"/>
  <c r="H675" i="9"/>
  <c r="H676" i="9"/>
  <c r="H677" i="9"/>
  <c r="H678" i="9"/>
  <c r="H679" i="9"/>
  <c r="H680" i="9"/>
  <c r="H681" i="9"/>
  <c r="H682" i="9"/>
  <c r="H683" i="9"/>
  <c r="H684" i="9"/>
  <c r="H685" i="9"/>
  <c r="H686" i="9"/>
  <c r="H687" i="9"/>
  <c r="H688" i="9"/>
  <c r="H689" i="9"/>
  <c r="H690" i="9"/>
  <c r="H691" i="9"/>
  <c r="H692" i="9"/>
  <c r="H693" i="9"/>
  <c r="H694" i="9"/>
  <c r="H695" i="9"/>
  <c r="H696" i="9"/>
  <c r="H697" i="9"/>
  <c r="H698" i="9"/>
  <c r="H699" i="9"/>
  <c r="H700" i="9"/>
  <c r="H701" i="9"/>
  <c r="H702" i="9"/>
  <c r="H703" i="9"/>
  <c r="H704" i="9"/>
  <c r="H705" i="9"/>
  <c r="H706" i="9"/>
  <c r="H707" i="9"/>
  <c r="H708" i="9"/>
  <c r="H709" i="9"/>
  <c r="H710" i="9"/>
  <c r="H711" i="9"/>
  <c r="H712" i="9"/>
  <c r="H713" i="9"/>
  <c r="H714" i="9"/>
  <c r="H715" i="9"/>
  <c r="H716" i="9"/>
  <c r="H717" i="9"/>
  <c r="H718" i="9"/>
  <c r="H719" i="9"/>
  <c r="A27" i="4"/>
  <c r="L40" i="1" s="1"/>
  <c r="A28" i="4"/>
  <c r="F8" i="2" s="1"/>
  <c r="A29" i="4"/>
  <c r="F9" i="2" s="1"/>
  <c r="A30" i="4"/>
  <c r="F10" i="2" s="1"/>
  <c r="F2" i="9"/>
  <c r="F3" i="9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F128" i="9"/>
  <c r="F129" i="9"/>
  <c r="F130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7" i="9"/>
  <c r="F168" i="9"/>
  <c r="F169" i="9"/>
  <c r="F170" i="9"/>
  <c r="F171" i="9"/>
  <c r="F172" i="9"/>
  <c r="F173" i="9"/>
  <c r="F174" i="9"/>
  <c r="F175" i="9"/>
  <c r="F176" i="9"/>
  <c r="F177" i="9"/>
  <c r="F178" i="9"/>
  <c r="F179" i="9"/>
  <c r="F180" i="9"/>
  <c r="F181" i="9"/>
  <c r="F182" i="9"/>
  <c r="F183" i="9"/>
  <c r="F184" i="9"/>
  <c r="F185" i="9"/>
  <c r="F186" i="9"/>
  <c r="F187" i="9"/>
  <c r="F188" i="9"/>
  <c r="F189" i="9"/>
  <c r="F190" i="9"/>
  <c r="F191" i="9"/>
  <c r="F192" i="9"/>
  <c r="F193" i="9"/>
  <c r="F194" i="9"/>
  <c r="F195" i="9"/>
  <c r="F196" i="9"/>
  <c r="F197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210" i="9"/>
  <c r="F211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4" i="9"/>
  <c r="F235" i="9"/>
  <c r="F236" i="9"/>
  <c r="F237" i="9"/>
  <c r="F238" i="9"/>
  <c r="F239" i="9"/>
  <c r="F240" i="9"/>
  <c r="F241" i="9"/>
  <c r="F242" i="9"/>
  <c r="F243" i="9"/>
  <c r="F244" i="9"/>
  <c r="F245" i="9"/>
  <c r="F246" i="9"/>
  <c r="F247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64" i="9"/>
  <c r="F265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89" i="9"/>
  <c r="F290" i="9"/>
  <c r="F291" i="9"/>
  <c r="F292" i="9"/>
  <c r="F293" i="9"/>
  <c r="F294" i="9"/>
  <c r="F295" i="9"/>
  <c r="F296" i="9"/>
  <c r="F297" i="9"/>
  <c r="F298" i="9"/>
  <c r="F299" i="9"/>
  <c r="F300" i="9"/>
  <c r="F301" i="9"/>
  <c r="F302" i="9"/>
  <c r="F303" i="9"/>
  <c r="F304" i="9"/>
  <c r="F305" i="9"/>
  <c r="F306" i="9"/>
  <c r="F307" i="9"/>
  <c r="F308" i="9"/>
  <c r="F309" i="9"/>
  <c r="F310" i="9"/>
  <c r="F311" i="9"/>
  <c r="F312" i="9"/>
  <c r="F313" i="9"/>
  <c r="F314" i="9"/>
  <c r="F315" i="9"/>
  <c r="F316" i="9"/>
  <c r="F317" i="9"/>
  <c r="F318" i="9"/>
  <c r="F319" i="9"/>
  <c r="F320" i="9"/>
  <c r="F321" i="9"/>
  <c r="F322" i="9"/>
  <c r="F323" i="9"/>
  <c r="F324" i="9"/>
  <c r="F325" i="9"/>
  <c r="F326" i="9"/>
  <c r="F327" i="9"/>
  <c r="F328" i="9"/>
  <c r="F329" i="9"/>
  <c r="F330" i="9"/>
  <c r="F331" i="9"/>
  <c r="F332" i="9"/>
  <c r="F333" i="9"/>
  <c r="F334" i="9"/>
  <c r="F335" i="9"/>
  <c r="F336" i="9"/>
  <c r="F337" i="9"/>
  <c r="F338" i="9"/>
  <c r="F339" i="9"/>
  <c r="F340" i="9"/>
  <c r="F341" i="9"/>
  <c r="F342" i="9"/>
  <c r="F343" i="9"/>
  <c r="F344" i="9"/>
  <c r="F345" i="9"/>
  <c r="F346" i="9"/>
  <c r="F347" i="9"/>
  <c r="F348" i="9"/>
  <c r="F349" i="9"/>
  <c r="F350" i="9"/>
  <c r="F351" i="9"/>
  <c r="F352" i="9"/>
  <c r="F353" i="9"/>
  <c r="F354" i="9"/>
  <c r="F355" i="9"/>
  <c r="F356" i="9"/>
  <c r="F357" i="9"/>
  <c r="F358" i="9"/>
  <c r="F359" i="9"/>
  <c r="F360" i="9"/>
  <c r="F361" i="9"/>
  <c r="F362" i="9"/>
  <c r="F363" i="9"/>
  <c r="F364" i="9"/>
  <c r="F365" i="9"/>
  <c r="F366" i="9"/>
  <c r="F367" i="9"/>
  <c r="F368" i="9"/>
  <c r="F369" i="9"/>
  <c r="F370" i="9"/>
  <c r="F371" i="9"/>
  <c r="F372" i="9"/>
  <c r="F373" i="9"/>
  <c r="F374" i="9"/>
  <c r="F375" i="9"/>
  <c r="F376" i="9"/>
  <c r="F377" i="9"/>
  <c r="F378" i="9"/>
  <c r="F379" i="9"/>
  <c r="F380" i="9"/>
  <c r="F381" i="9"/>
  <c r="F382" i="9"/>
  <c r="F383" i="9"/>
  <c r="F384" i="9"/>
  <c r="F385" i="9"/>
  <c r="F386" i="9"/>
  <c r="F387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3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434" i="9"/>
  <c r="F435" i="9"/>
  <c r="F436" i="9"/>
  <c r="F437" i="9"/>
  <c r="F438" i="9"/>
  <c r="F439" i="9"/>
  <c r="F440" i="9"/>
  <c r="F441" i="9"/>
  <c r="F442" i="9"/>
  <c r="F443" i="9"/>
  <c r="F444" i="9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89" i="9"/>
  <c r="F490" i="9"/>
  <c r="F491" i="9"/>
  <c r="F492" i="9"/>
  <c r="F493" i="9"/>
  <c r="F494" i="9"/>
  <c r="F495" i="9"/>
  <c r="F496" i="9"/>
  <c r="F497" i="9"/>
  <c r="F498" i="9"/>
  <c r="F499" i="9"/>
  <c r="F500" i="9"/>
  <c r="F501" i="9"/>
  <c r="F502" i="9"/>
  <c r="F503" i="9"/>
  <c r="F504" i="9"/>
  <c r="F505" i="9"/>
  <c r="F506" i="9"/>
  <c r="F507" i="9"/>
  <c r="F508" i="9"/>
  <c r="F509" i="9"/>
  <c r="F510" i="9"/>
  <c r="F511" i="9"/>
  <c r="F512" i="9"/>
  <c r="F513" i="9"/>
  <c r="F514" i="9"/>
  <c r="F515" i="9"/>
  <c r="F516" i="9"/>
  <c r="F517" i="9"/>
  <c r="F518" i="9"/>
  <c r="F519" i="9"/>
  <c r="F520" i="9"/>
  <c r="F521" i="9"/>
  <c r="F522" i="9"/>
  <c r="F523" i="9"/>
  <c r="F524" i="9"/>
  <c r="F525" i="9"/>
  <c r="F526" i="9"/>
  <c r="F527" i="9"/>
  <c r="F528" i="9"/>
  <c r="F529" i="9"/>
  <c r="F530" i="9"/>
  <c r="F531" i="9"/>
  <c r="F532" i="9"/>
  <c r="F533" i="9"/>
  <c r="F534" i="9"/>
  <c r="F535" i="9"/>
  <c r="F536" i="9"/>
  <c r="F537" i="9"/>
  <c r="F538" i="9"/>
  <c r="F539" i="9"/>
  <c r="F540" i="9"/>
  <c r="F541" i="9"/>
  <c r="F542" i="9"/>
  <c r="F543" i="9"/>
  <c r="F544" i="9"/>
  <c r="F545" i="9"/>
  <c r="F546" i="9"/>
  <c r="F547" i="9"/>
  <c r="F548" i="9"/>
  <c r="F549" i="9"/>
  <c r="F550" i="9"/>
  <c r="F551" i="9"/>
  <c r="F552" i="9"/>
  <c r="F553" i="9"/>
  <c r="F554" i="9"/>
  <c r="F555" i="9"/>
  <c r="F556" i="9"/>
  <c r="F557" i="9"/>
  <c r="F558" i="9"/>
  <c r="F559" i="9"/>
  <c r="F560" i="9"/>
  <c r="F561" i="9"/>
  <c r="F562" i="9"/>
  <c r="F563" i="9"/>
  <c r="F564" i="9"/>
  <c r="F565" i="9"/>
  <c r="F566" i="9"/>
  <c r="F567" i="9"/>
  <c r="F568" i="9"/>
  <c r="F569" i="9"/>
  <c r="F570" i="9"/>
  <c r="F571" i="9"/>
  <c r="F572" i="9"/>
  <c r="F573" i="9"/>
  <c r="F574" i="9"/>
  <c r="F575" i="9"/>
  <c r="F576" i="9"/>
  <c r="F577" i="9"/>
  <c r="F578" i="9"/>
  <c r="F579" i="9"/>
  <c r="F580" i="9"/>
  <c r="F581" i="9"/>
  <c r="F582" i="9"/>
  <c r="F583" i="9"/>
  <c r="F584" i="9"/>
  <c r="F585" i="9"/>
  <c r="F586" i="9"/>
  <c r="F587" i="9"/>
  <c r="F588" i="9"/>
  <c r="F589" i="9"/>
  <c r="F590" i="9"/>
  <c r="F591" i="9"/>
  <c r="F592" i="9"/>
  <c r="F593" i="9"/>
  <c r="F594" i="9"/>
  <c r="F595" i="9"/>
  <c r="F596" i="9"/>
  <c r="F597" i="9"/>
  <c r="F598" i="9"/>
  <c r="F599" i="9"/>
  <c r="F600" i="9"/>
  <c r="F601" i="9"/>
  <c r="F602" i="9"/>
  <c r="F603" i="9"/>
  <c r="F604" i="9"/>
  <c r="F605" i="9"/>
  <c r="F606" i="9"/>
  <c r="F607" i="9"/>
  <c r="F608" i="9"/>
  <c r="F609" i="9"/>
  <c r="F610" i="9"/>
  <c r="F611" i="9"/>
  <c r="F612" i="9"/>
  <c r="F613" i="9"/>
  <c r="F614" i="9"/>
  <c r="F615" i="9"/>
  <c r="F616" i="9"/>
  <c r="F617" i="9"/>
  <c r="F618" i="9"/>
  <c r="F619" i="9"/>
  <c r="F620" i="9"/>
  <c r="F621" i="9"/>
  <c r="F622" i="9"/>
  <c r="F623" i="9"/>
  <c r="F624" i="9"/>
  <c r="F625" i="9"/>
  <c r="F626" i="9"/>
  <c r="F627" i="9"/>
  <c r="F628" i="9"/>
  <c r="F629" i="9"/>
  <c r="F630" i="9"/>
  <c r="F631" i="9"/>
  <c r="F632" i="9"/>
  <c r="F633" i="9"/>
  <c r="F634" i="9"/>
  <c r="F635" i="9"/>
  <c r="F636" i="9"/>
  <c r="F637" i="9"/>
  <c r="F638" i="9"/>
  <c r="F639" i="9"/>
  <c r="F640" i="9"/>
  <c r="F641" i="9"/>
  <c r="F642" i="9"/>
  <c r="F643" i="9"/>
  <c r="F644" i="9"/>
  <c r="F645" i="9"/>
  <c r="F646" i="9"/>
  <c r="F647" i="9"/>
  <c r="F648" i="9"/>
  <c r="F649" i="9"/>
  <c r="F650" i="9"/>
  <c r="F651" i="9"/>
  <c r="F652" i="9"/>
  <c r="F653" i="9"/>
  <c r="F654" i="9"/>
  <c r="F655" i="9"/>
  <c r="F656" i="9"/>
  <c r="F657" i="9"/>
  <c r="F658" i="9"/>
  <c r="F659" i="9"/>
  <c r="F660" i="9"/>
  <c r="F661" i="9"/>
  <c r="F662" i="9"/>
  <c r="F663" i="9"/>
  <c r="F664" i="9"/>
  <c r="F665" i="9"/>
  <c r="F666" i="9"/>
  <c r="F667" i="9"/>
  <c r="F668" i="9"/>
  <c r="F669" i="9"/>
  <c r="F670" i="9"/>
  <c r="F671" i="9"/>
  <c r="F672" i="9"/>
  <c r="F673" i="9"/>
  <c r="F674" i="9"/>
  <c r="F675" i="9"/>
  <c r="F676" i="9"/>
  <c r="F677" i="9"/>
  <c r="F678" i="9"/>
  <c r="F679" i="9"/>
  <c r="F680" i="9"/>
  <c r="F681" i="9"/>
  <c r="F682" i="9"/>
  <c r="F683" i="9"/>
  <c r="F684" i="9"/>
  <c r="F685" i="9"/>
  <c r="F686" i="9"/>
  <c r="F687" i="9"/>
  <c r="F688" i="9"/>
  <c r="F689" i="9"/>
  <c r="F690" i="9"/>
  <c r="F691" i="9"/>
  <c r="F692" i="9"/>
  <c r="F693" i="9"/>
  <c r="F694" i="9"/>
  <c r="F695" i="9"/>
  <c r="F696" i="9"/>
  <c r="F697" i="9"/>
  <c r="F698" i="9"/>
  <c r="F699" i="9"/>
  <c r="F700" i="9"/>
  <c r="F701" i="9"/>
  <c r="F702" i="9"/>
  <c r="F703" i="9"/>
  <c r="F704" i="9"/>
  <c r="F705" i="9"/>
  <c r="F706" i="9"/>
  <c r="F707" i="9"/>
  <c r="F708" i="9"/>
  <c r="F709" i="9"/>
  <c r="F710" i="9"/>
  <c r="F711" i="9"/>
  <c r="F712" i="9"/>
  <c r="F713" i="9"/>
  <c r="F714" i="9"/>
  <c r="F715" i="9"/>
  <c r="F716" i="9"/>
  <c r="F717" i="9"/>
  <c r="F718" i="9"/>
  <c r="F719" i="9"/>
  <c r="A75" i="4"/>
  <c r="A71" i="4"/>
  <c r="E6" i="2" l="1"/>
  <c r="A70" i="4"/>
  <c r="AB45" i="1" s="1"/>
  <c r="A69" i="4"/>
  <c r="Y45" i="1" s="1"/>
  <c r="Y52" i="1" s="1"/>
  <c r="B52" i="1"/>
  <c r="I99" i="2"/>
  <c r="J99" i="2"/>
  <c r="G99" i="2"/>
  <c r="H99" i="2"/>
  <c r="E99" i="2"/>
  <c r="F99" i="2"/>
  <c r="D99" i="2"/>
  <c r="AB52" i="1" l="1"/>
  <c r="AB31" i="1"/>
  <c r="A68" i="4"/>
  <c r="D84" i="2" s="1"/>
  <c r="C2" i="9"/>
  <c r="C3" i="9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B2" i="9"/>
  <c r="B3" i="9"/>
  <c r="B4" i="9"/>
  <c r="B5" i="9"/>
  <c r="B6" i="9"/>
  <c r="B7" i="9"/>
  <c r="B8" i="9"/>
  <c r="B9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57" i="9"/>
  <c r="B58" i="9"/>
  <c r="B59" i="9"/>
  <c r="B60" i="9"/>
  <c r="B61" i="9"/>
  <c r="B62" i="9"/>
  <c r="B63" i="9"/>
  <c r="B64" i="9"/>
  <c r="B65" i="9"/>
  <c r="B66" i="9"/>
  <c r="B67" i="9"/>
  <c r="B68" i="9"/>
  <c r="B69" i="9"/>
  <c r="B70" i="9"/>
  <c r="B71" i="9"/>
  <c r="B72" i="9"/>
  <c r="B73" i="9"/>
  <c r="B74" i="9"/>
  <c r="B75" i="9"/>
  <c r="B76" i="9"/>
  <c r="B77" i="9"/>
  <c r="B78" i="9"/>
  <c r="B79" i="9"/>
  <c r="B80" i="9"/>
  <c r="B81" i="9"/>
  <c r="B82" i="9"/>
  <c r="B83" i="9"/>
  <c r="B84" i="9"/>
  <c r="B85" i="9"/>
  <c r="B86" i="9"/>
  <c r="B87" i="9"/>
  <c r="B88" i="9"/>
  <c r="B89" i="9"/>
  <c r="B90" i="9"/>
  <c r="B91" i="9"/>
  <c r="B92" i="9"/>
  <c r="B93" i="9"/>
  <c r="B94" i="9"/>
  <c r="B95" i="9"/>
  <c r="B96" i="9"/>
  <c r="B97" i="9"/>
  <c r="B98" i="9"/>
  <c r="B99" i="9"/>
  <c r="B100" i="9"/>
  <c r="B101" i="9"/>
  <c r="B102" i="9"/>
  <c r="B103" i="9"/>
  <c r="B104" i="9"/>
  <c r="B105" i="9"/>
  <c r="B106" i="9"/>
  <c r="B107" i="9"/>
  <c r="B108" i="9"/>
  <c r="B109" i="9"/>
  <c r="B110" i="9"/>
  <c r="B111" i="9"/>
  <c r="B112" i="9"/>
  <c r="B113" i="9"/>
  <c r="B114" i="9"/>
  <c r="B115" i="9"/>
  <c r="B116" i="9"/>
  <c r="B117" i="9"/>
  <c r="B118" i="9"/>
  <c r="B119" i="9"/>
  <c r="B120" i="9"/>
  <c r="B121" i="9"/>
  <c r="B122" i="9"/>
  <c r="B123" i="9"/>
  <c r="B124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65" i="9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84" i="9"/>
  <c r="B185" i="9"/>
  <c r="B186" i="9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368" i="9"/>
  <c r="B369" i="9"/>
  <c r="B370" i="9"/>
  <c r="B371" i="9"/>
  <c r="B372" i="9"/>
  <c r="B373" i="9"/>
  <c r="B374" i="9"/>
  <c r="B375" i="9"/>
  <c r="B376" i="9"/>
  <c r="B377" i="9"/>
  <c r="B378" i="9"/>
  <c r="B379" i="9"/>
  <c r="B380" i="9"/>
  <c r="B381" i="9"/>
  <c r="B382" i="9"/>
  <c r="B383" i="9"/>
  <c r="B384" i="9"/>
  <c r="B385" i="9"/>
  <c r="B386" i="9"/>
  <c r="B387" i="9"/>
  <c r="B388" i="9"/>
  <c r="B389" i="9"/>
  <c r="B390" i="9"/>
  <c r="B391" i="9"/>
  <c r="B392" i="9"/>
  <c r="B393" i="9"/>
  <c r="B394" i="9"/>
  <c r="B395" i="9"/>
  <c r="B396" i="9"/>
  <c r="B397" i="9"/>
  <c r="B398" i="9"/>
  <c r="B399" i="9"/>
  <c r="B400" i="9"/>
  <c r="B401" i="9"/>
  <c r="B402" i="9"/>
  <c r="B403" i="9"/>
  <c r="B404" i="9"/>
  <c r="B405" i="9"/>
  <c r="B406" i="9"/>
  <c r="B407" i="9"/>
  <c r="B408" i="9"/>
  <c r="B409" i="9"/>
  <c r="B410" i="9"/>
  <c r="B411" i="9"/>
  <c r="B412" i="9"/>
  <c r="B413" i="9"/>
  <c r="B414" i="9"/>
  <c r="B415" i="9"/>
  <c r="B416" i="9"/>
  <c r="B417" i="9"/>
  <c r="B418" i="9"/>
  <c r="B419" i="9"/>
  <c r="B420" i="9"/>
  <c r="B421" i="9"/>
  <c r="B422" i="9"/>
  <c r="B423" i="9"/>
  <c r="B424" i="9"/>
  <c r="B425" i="9"/>
  <c r="B426" i="9"/>
  <c r="B427" i="9"/>
  <c r="B428" i="9"/>
  <c r="B429" i="9"/>
  <c r="B430" i="9"/>
  <c r="B431" i="9"/>
  <c r="B432" i="9"/>
  <c r="B433" i="9"/>
  <c r="B434" i="9"/>
  <c r="B435" i="9"/>
  <c r="B436" i="9"/>
  <c r="B437" i="9"/>
  <c r="B438" i="9"/>
  <c r="B439" i="9"/>
  <c r="B440" i="9"/>
  <c r="B441" i="9"/>
  <c r="B442" i="9"/>
  <c r="B443" i="9"/>
  <c r="B444" i="9"/>
  <c r="B445" i="9"/>
  <c r="B446" i="9"/>
  <c r="B447" i="9"/>
  <c r="B448" i="9"/>
  <c r="B449" i="9"/>
  <c r="B450" i="9"/>
  <c r="B451" i="9"/>
  <c r="B452" i="9"/>
  <c r="B453" i="9"/>
  <c r="B454" i="9"/>
  <c r="B455" i="9"/>
  <c r="B456" i="9"/>
  <c r="B457" i="9"/>
  <c r="B458" i="9"/>
  <c r="B459" i="9"/>
  <c r="B460" i="9"/>
  <c r="B461" i="9"/>
  <c r="B462" i="9"/>
  <c r="B463" i="9"/>
  <c r="B464" i="9"/>
  <c r="B465" i="9"/>
  <c r="B466" i="9"/>
  <c r="B467" i="9"/>
  <c r="B468" i="9"/>
  <c r="B469" i="9"/>
  <c r="B470" i="9"/>
  <c r="B471" i="9"/>
  <c r="B472" i="9"/>
  <c r="B473" i="9"/>
  <c r="B474" i="9"/>
  <c r="B475" i="9"/>
  <c r="B476" i="9"/>
  <c r="B477" i="9"/>
  <c r="B478" i="9"/>
  <c r="B479" i="9"/>
  <c r="B480" i="9"/>
  <c r="B481" i="9"/>
  <c r="B482" i="9"/>
  <c r="B483" i="9"/>
  <c r="B484" i="9"/>
  <c r="B485" i="9"/>
  <c r="B486" i="9"/>
  <c r="B487" i="9"/>
  <c r="B488" i="9"/>
  <c r="B489" i="9"/>
  <c r="B490" i="9"/>
  <c r="B491" i="9"/>
  <c r="B492" i="9"/>
  <c r="B493" i="9"/>
  <c r="B494" i="9"/>
  <c r="B495" i="9"/>
  <c r="B496" i="9"/>
  <c r="B497" i="9"/>
  <c r="B498" i="9"/>
  <c r="B499" i="9"/>
  <c r="B500" i="9"/>
  <c r="B501" i="9"/>
  <c r="B502" i="9"/>
  <c r="B503" i="9"/>
  <c r="B504" i="9"/>
  <c r="B505" i="9"/>
  <c r="B506" i="9"/>
  <c r="B507" i="9"/>
  <c r="B508" i="9"/>
  <c r="B509" i="9"/>
  <c r="B510" i="9"/>
  <c r="B511" i="9"/>
  <c r="B512" i="9"/>
  <c r="B513" i="9"/>
  <c r="B514" i="9"/>
  <c r="B515" i="9"/>
  <c r="B516" i="9"/>
  <c r="B517" i="9"/>
  <c r="B518" i="9"/>
  <c r="B519" i="9"/>
  <c r="B520" i="9"/>
  <c r="B521" i="9"/>
  <c r="B522" i="9"/>
  <c r="B523" i="9"/>
  <c r="B524" i="9"/>
  <c r="B525" i="9"/>
  <c r="B526" i="9"/>
  <c r="B527" i="9"/>
  <c r="B528" i="9"/>
  <c r="B529" i="9"/>
  <c r="B530" i="9"/>
  <c r="B531" i="9"/>
  <c r="B532" i="9"/>
  <c r="B533" i="9"/>
  <c r="B534" i="9"/>
  <c r="B535" i="9"/>
  <c r="B536" i="9"/>
  <c r="B537" i="9"/>
  <c r="B538" i="9"/>
  <c r="B539" i="9"/>
  <c r="B540" i="9"/>
  <c r="B541" i="9"/>
  <c r="B542" i="9"/>
  <c r="B543" i="9"/>
  <c r="B544" i="9"/>
  <c r="B545" i="9"/>
  <c r="B546" i="9"/>
  <c r="B547" i="9"/>
  <c r="B548" i="9"/>
  <c r="B549" i="9"/>
  <c r="B550" i="9"/>
  <c r="B551" i="9"/>
  <c r="B552" i="9"/>
  <c r="B553" i="9"/>
  <c r="B554" i="9"/>
  <c r="B555" i="9"/>
  <c r="B556" i="9"/>
  <c r="B557" i="9"/>
  <c r="B558" i="9"/>
  <c r="B559" i="9"/>
  <c r="B560" i="9"/>
  <c r="B561" i="9"/>
  <c r="B562" i="9"/>
  <c r="B563" i="9"/>
  <c r="B564" i="9"/>
  <c r="B565" i="9"/>
  <c r="B566" i="9"/>
  <c r="B567" i="9"/>
  <c r="B568" i="9"/>
  <c r="B569" i="9"/>
  <c r="B570" i="9"/>
  <c r="B571" i="9"/>
  <c r="B572" i="9"/>
  <c r="B573" i="9"/>
  <c r="B574" i="9"/>
  <c r="B575" i="9"/>
  <c r="B576" i="9"/>
  <c r="B577" i="9"/>
  <c r="B578" i="9"/>
  <c r="B579" i="9"/>
  <c r="B580" i="9"/>
  <c r="B581" i="9"/>
  <c r="B582" i="9"/>
  <c r="B583" i="9"/>
  <c r="B584" i="9"/>
  <c r="B585" i="9"/>
  <c r="B586" i="9"/>
  <c r="B587" i="9"/>
  <c r="B588" i="9"/>
  <c r="B589" i="9"/>
  <c r="B590" i="9"/>
  <c r="B591" i="9"/>
  <c r="B592" i="9"/>
  <c r="B593" i="9"/>
  <c r="B594" i="9"/>
  <c r="B595" i="9"/>
  <c r="B596" i="9"/>
  <c r="B597" i="9"/>
  <c r="B598" i="9"/>
  <c r="B599" i="9"/>
  <c r="B600" i="9"/>
  <c r="B601" i="9"/>
  <c r="B602" i="9"/>
  <c r="B603" i="9"/>
  <c r="B604" i="9"/>
  <c r="B605" i="9"/>
  <c r="B606" i="9"/>
  <c r="B607" i="9"/>
  <c r="B608" i="9"/>
  <c r="B609" i="9"/>
  <c r="B610" i="9"/>
  <c r="B611" i="9"/>
  <c r="B612" i="9"/>
  <c r="B613" i="9"/>
  <c r="B614" i="9"/>
  <c r="B615" i="9"/>
  <c r="B616" i="9"/>
  <c r="B617" i="9"/>
  <c r="B618" i="9"/>
  <c r="B619" i="9"/>
  <c r="B620" i="9"/>
  <c r="B621" i="9"/>
  <c r="B622" i="9"/>
  <c r="B623" i="9"/>
  <c r="B624" i="9"/>
  <c r="B625" i="9"/>
  <c r="B626" i="9"/>
  <c r="B627" i="9"/>
  <c r="B628" i="9"/>
  <c r="B629" i="9"/>
  <c r="B630" i="9"/>
  <c r="B631" i="9"/>
  <c r="B632" i="9"/>
  <c r="B633" i="9"/>
  <c r="B634" i="9"/>
  <c r="B635" i="9"/>
  <c r="B636" i="9"/>
  <c r="B637" i="9"/>
  <c r="B638" i="9"/>
  <c r="B639" i="9"/>
  <c r="B640" i="9"/>
  <c r="B641" i="9"/>
  <c r="B642" i="9"/>
  <c r="B643" i="9"/>
  <c r="B644" i="9"/>
  <c r="B645" i="9"/>
  <c r="B646" i="9"/>
  <c r="B647" i="9"/>
  <c r="B648" i="9"/>
  <c r="B649" i="9"/>
  <c r="B650" i="9"/>
  <c r="B651" i="9"/>
  <c r="B652" i="9"/>
  <c r="B653" i="9"/>
  <c r="B654" i="9"/>
  <c r="B655" i="9"/>
  <c r="B656" i="9"/>
  <c r="B657" i="9"/>
  <c r="B658" i="9"/>
  <c r="B659" i="9"/>
  <c r="B660" i="9"/>
  <c r="B661" i="9"/>
  <c r="B662" i="9"/>
  <c r="B663" i="9"/>
  <c r="B664" i="9"/>
  <c r="B665" i="9"/>
  <c r="B666" i="9"/>
  <c r="B667" i="9"/>
  <c r="B668" i="9"/>
  <c r="B669" i="9"/>
  <c r="B670" i="9"/>
  <c r="B671" i="9"/>
  <c r="B672" i="9"/>
  <c r="B673" i="9"/>
  <c r="B674" i="9"/>
  <c r="B675" i="9"/>
  <c r="B676" i="9"/>
  <c r="B677" i="9"/>
  <c r="B678" i="9"/>
  <c r="B679" i="9"/>
  <c r="B680" i="9"/>
  <c r="B681" i="9"/>
  <c r="B682" i="9"/>
  <c r="B683" i="9"/>
  <c r="B684" i="9"/>
  <c r="B685" i="9"/>
  <c r="B686" i="9"/>
  <c r="B687" i="9"/>
  <c r="B688" i="9"/>
  <c r="B689" i="9"/>
  <c r="B690" i="9"/>
  <c r="B691" i="9"/>
  <c r="B692" i="9"/>
  <c r="B693" i="9"/>
  <c r="B694" i="9"/>
  <c r="B695" i="9"/>
  <c r="B696" i="9"/>
  <c r="B697" i="9"/>
  <c r="B698" i="9"/>
  <c r="B699" i="9"/>
  <c r="B700" i="9"/>
  <c r="B701" i="9"/>
  <c r="B702" i="9"/>
  <c r="B703" i="9"/>
  <c r="B704" i="9"/>
  <c r="B705" i="9"/>
  <c r="B706" i="9"/>
  <c r="B707" i="9"/>
  <c r="B708" i="9"/>
  <c r="B709" i="9"/>
  <c r="B710" i="9"/>
  <c r="B711" i="9"/>
  <c r="B712" i="9"/>
  <c r="B713" i="9"/>
  <c r="B714" i="9"/>
  <c r="B715" i="9"/>
  <c r="B716" i="9"/>
  <c r="B717" i="9"/>
  <c r="B718" i="9"/>
  <c r="B719" i="9"/>
  <c r="A2" i="9"/>
  <c r="A3" i="9"/>
  <c r="A4" i="9"/>
  <c r="A5" i="9"/>
  <c r="A6" i="9"/>
  <c r="A7" i="9"/>
  <c r="A8" i="9"/>
  <c r="A9" i="9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A28" i="9"/>
  <c r="A29" i="9"/>
  <c r="A30" i="9"/>
  <c r="A31" i="9"/>
  <c r="A32" i="9"/>
  <c r="A33" i="9"/>
  <c r="A34" i="9"/>
  <c r="A35" i="9"/>
  <c r="A36" i="9"/>
  <c r="A37" i="9"/>
  <c r="A38" i="9"/>
  <c r="A39" i="9"/>
  <c r="A40" i="9"/>
  <c r="A41" i="9"/>
  <c r="A42" i="9"/>
  <c r="A43" i="9"/>
  <c r="A44" i="9"/>
  <c r="A45" i="9"/>
  <c r="A46" i="9"/>
  <c r="A47" i="9"/>
  <c r="A48" i="9"/>
  <c r="A49" i="9"/>
  <c r="A50" i="9"/>
  <c r="A51" i="9"/>
  <c r="A52" i="9"/>
  <c r="A53" i="9"/>
  <c r="A54" i="9"/>
  <c r="A55" i="9"/>
  <c r="A56" i="9"/>
  <c r="A57" i="9"/>
  <c r="A58" i="9"/>
  <c r="A59" i="9"/>
  <c r="A60" i="9"/>
  <c r="A61" i="9"/>
  <c r="A62" i="9"/>
  <c r="A63" i="9"/>
  <c r="A64" i="9"/>
  <c r="A65" i="9"/>
  <c r="A66" i="9"/>
  <c r="A67" i="9"/>
  <c r="A68" i="9"/>
  <c r="A69" i="9"/>
  <c r="A70" i="9"/>
  <c r="A71" i="9"/>
  <c r="A72" i="9"/>
  <c r="A73" i="9"/>
  <c r="A74" i="9"/>
  <c r="A75" i="9"/>
  <c r="A76" i="9"/>
  <c r="A77" i="9"/>
  <c r="A78" i="9"/>
  <c r="A79" i="9"/>
  <c r="A80" i="9"/>
  <c r="A81" i="9"/>
  <c r="A82" i="9"/>
  <c r="A83" i="9"/>
  <c r="A84" i="9"/>
  <c r="A85" i="9"/>
  <c r="A86" i="9"/>
  <c r="A87" i="9"/>
  <c r="A88" i="9"/>
  <c r="A89" i="9"/>
  <c r="A90" i="9"/>
  <c r="A91" i="9"/>
  <c r="A92" i="9"/>
  <c r="A93" i="9"/>
  <c r="A94" i="9"/>
  <c r="A95" i="9"/>
  <c r="A96" i="9"/>
  <c r="A97" i="9"/>
  <c r="A98" i="9"/>
  <c r="A99" i="9"/>
  <c r="A100" i="9"/>
  <c r="A101" i="9"/>
  <c r="A102" i="9"/>
  <c r="A103" i="9"/>
  <c r="A104" i="9"/>
  <c r="A105" i="9"/>
  <c r="A106" i="9"/>
  <c r="A107" i="9"/>
  <c r="A108" i="9"/>
  <c r="A109" i="9"/>
  <c r="A110" i="9"/>
  <c r="A111" i="9"/>
  <c r="A112" i="9"/>
  <c r="A113" i="9"/>
  <c r="A114" i="9"/>
  <c r="A115" i="9"/>
  <c r="A116" i="9"/>
  <c r="A117" i="9"/>
  <c r="A118" i="9"/>
  <c r="A119" i="9"/>
  <c r="A120" i="9"/>
  <c r="A121" i="9"/>
  <c r="A122" i="9"/>
  <c r="A123" i="9"/>
  <c r="A124" i="9"/>
  <c r="A125" i="9"/>
  <c r="A126" i="9"/>
  <c r="A127" i="9"/>
  <c r="A128" i="9"/>
  <c r="A129" i="9"/>
  <c r="A130" i="9"/>
  <c r="A131" i="9"/>
  <c r="A132" i="9"/>
  <c r="A133" i="9"/>
  <c r="A134" i="9"/>
  <c r="A135" i="9"/>
  <c r="A136" i="9"/>
  <c r="A137" i="9"/>
  <c r="A138" i="9"/>
  <c r="A139" i="9"/>
  <c r="A140" i="9"/>
  <c r="A141" i="9"/>
  <c r="A142" i="9"/>
  <c r="A143" i="9"/>
  <c r="A144" i="9"/>
  <c r="A145" i="9"/>
  <c r="A146" i="9"/>
  <c r="A147" i="9"/>
  <c r="A148" i="9"/>
  <c r="A149" i="9"/>
  <c r="A150" i="9"/>
  <c r="A151" i="9"/>
  <c r="A152" i="9"/>
  <c r="A153" i="9"/>
  <c r="A154" i="9"/>
  <c r="A155" i="9"/>
  <c r="A156" i="9"/>
  <c r="A157" i="9"/>
  <c r="A158" i="9"/>
  <c r="A159" i="9"/>
  <c r="A160" i="9"/>
  <c r="A161" i="9"/>
  <c r="A162" i="9"/>
  <c r="A163" i="9"/>
  <c r="A164" i="9"/>
  <c r="A165" i="9"/>
  <c r="A166" i="9"/>
  <c r="A167" i="9"/>
  <c r="A168" i="9"/>
  <c r="A169" i="9"/>
  <c r="A170" i="9"/>
  <c r="A171" i="9"/>
  <c r="A172" i="9"/>
  <c r="A173" i="9"/>
  <c r="A174" i="9"/>
  <c r="A175" i="9"/>
  <c r="A176" i="9"/>
  <c r="A177" i="9"/>
  <c r="A178" i="9"/>
  <c r="A179" i="9"/>
  <c r="A180" i="9"/>
  <c r="A181" i="9"/>
  <c r="A182" i="9"/>
  <c r="A183" i="9"/>
  <c r="A184" i="9"/>
  <c r="A185" i="9"/>
  <c r="A186" i="9"/>
  <c r="A187" i="9"/>
  <c r="A188" i="9"/>
  <c r="A189" i="9"/>
  <c r="A190" i="9"/>
  <c r="A191" i="9"/>
  <c r="A192" i="9"/>
  <c r="A193" i="9"/>
  <c r="A194" i="9"/>
  <c r="A195" i="9"/>
  <c r="A196" i="9"/>
  <c r="A197" i="9"/>
  <c r="A198" i="9"/>
  <c r="A199" i="9"/>
  <c r="A200" i="9"/>
  <c r="A201" i="9"/>
  <c r="A202" i="9"/>
  <c r="A203" i="9"/>
  <c r="A204" i="9"/>
  <c r="A205" i="9"/>
  <c r="A206" i="9"/>
  <c r="A207" i="9"/>
  <c r="A208" i="9"/>
  <c r="A209" i="9"/>
  <c r="A210" i="9"/>
  <c r="A211" i="9"/>
  <c r="A212" i="9"/>
  <c r="A213" i="9"/>
  <c r="A214" i="9"/>
  <c r="A215" i="9"/>
  <c r="A216" i="9"/>
  <c r="A217" i="9"/>
  <c r="A218" i="9"/>
  <c r="A219" i="9"/>
  <c r="A220" i="9"/>
  <c r="A221" i="9"/>
  <c r="A222" i="9"/>
  <c r="A223" i="9"/>
  <c r="A224" i="9"/>
  <c r="A225" i="9"/>
  <c r="A226" i="9"/>
  <c r="A227" i="9"/>
  <c r="A228" i="9"/>
  <c r="A229" i="9"/>
  <c r="A230" i="9"/>
  <c r="A231" i="9"/>
  <c r="A232" i="9"/>
  <c r="A233" i="9"/>
  <c r="A234" i="9"/>
  <c r="A235" i="9"/>
  <c r="A236" i="9"/>
  <c r="A237" i="9"/>
  <c r="A238" i="9"/>
  <c r="A239" i="9"/>
  <c r="A240" i="9"/>
  <c r="A241" i="9"/>
  <c r="A242" i="9"/>
  <c r="A243" i="9"/>
  <c r="A244" i="9"/>
  <c r="A245" i="9"/>
  <c r="A246" i="9"/>
  <c r="A247" i="9"/>
  <c r="A248" i="9"/>
  <c r="A249" i="9"/>
  <c r="A250" i="9"/>
  <c r="A251" i="9"/>
  <c r="A252" i="9"/>
  <c r="A253" i="9"/>
  <c r="A254" i="9"/>
  <c r="A255" i="9"/>
  <c r="A256" i="9"/>
  <c r="A257" i="9"/>
  <c r="A258" i="9"/>
  <c r="A259" i="9"/>
  <c r="A260" i="9"/>
  <c r="A261" i="9"/>
  <c r="A262" i="9"/>
  <c r="A263" i="9"/>
  <c r="A264" i="9"/>
  <c r="A265" i="9"/>
  <c r="A266" i="9"/>
  <c r="A267" i="9"/>
  <c r="A268" i="9"/>
  <c r="A269" i="9"/>
  <c r="A270" i="9"/>
  <c r="A271" i="9"/>
  <c r="A272" i="9"/>
  <c r="A273" i="9"/>
  <c r="A274" i="9"/>
  <c r="A275" i="9"/>
  <c r="A276" i="9"/>
  <c r="A277" i="9"/>
  <c r="A278" i="9"/>
  <c r="A279" i="9"/>
  <c r="A280" i="9"/>
  <c r="A281" i="9"/>
  <c r="A282" i="9"/>
  <c r="A283" i="9"/>
  <c r="A284" i="9"/>
  <c r="A285" i="9"/>
  <c r="A286" i="9"/>
  <c r="A287" i="9"/>
  <c r="A288" i="9"/>
  <c r="A289" i="9"/>
  <c r="A290" i="9"/>
  <c r="A291" i="9"/>
  <c r="A292" i="9"/>
  <c r="A293" i="9"/>
  <c r="A294" i="9"/>
  <c r="A295" i="9"/>
  <c r="A296" i="9"/>
  <c r="A297" i="9"/>
  <c r="A298" i="9"/>
  <c r="A299" i="9"/>
  <c r="A300" i="9"/>
  <c r="A301" i="9"/>
  <c r="A302" i="9"/>
  <c r="A303" i="9"/>
  <c r="A304" i="9"/>
  <c r="A305" i="9"/>
  <c r="A306" i="9"/>
  <c r="A307" i="9"/>
  <c r="A308" i="9"/>
  <c r="A309" i="9"/>
  <c r="A310" i="9"/>
  <c r="A311" i="9"/>
  <c r="A312" i="9"/>
  <c r="A313" i="9"/>
  <c r="A314" i="9"/>
  <c r="A315" i="9"/>
  <c r="A316" i="9"/>
  <c r="A317" i="9"/>
  <c r="A318" i="9"/>
  <c r="A319" i="9"/>
  <c r="A320" i="9"/>
  <c r="A321" i="9"/>
  <c r="A322" i="9"/>
  <c r="A323" i="9"/>
  <c r="A324" i="9"/>
  <c r="A325" i="9"/>
  <c r="A326" i="9"/>
  <c r="A327" i="9"/>
  <c r="A328" i="9"/>
  <c r="A329" i="9"/>
  <c r="A330" i="9"/>
  <c r="A331" i="9"/>
  <c r="A332" i="9"/>
  <c r="A333" i="9"/>
  <c r="A334" i="9"/>
  <c r="A335" i="9"/>
  <c r="A336" i="9"/>
  <c r="A337" i="9"/>
  <c r="A338" i="9"/>
  <c r="A339" i="9"/>
  <c r="A340" i="9"/>
  <c r="A341" i="9"/>
  <c r="A342" i="9"/>
  <c r="A343" i="9"/>
  <c r="A344" i="9"/>
  <c r="A345" i="9"/>
  <c r="A346" i="9"/>
  <c r="A347" i="9"/>
  <c r="A348" i="9"/>
  <c r="A349" i="9"/>
  <c r="A350" i="9"/>
  <c r="A351" i="9"/>
  <c r="A352" i="9"/>
  <c r="A353" i="9"/>
  <c r="A354" i="9"/>
  <c r="A355" i="9"/>
  <c r="A356" i="9"/>
  <c r="A357" i="9"/>
  <c r="A358" i="9"/>
  <c r="A359" i="9"/>
  <c r="A360" i="9"/>
  <c r="A361" i="9"/>
  <c r="A362" i="9"/>
  <c r="A363" i="9"/>
  <c r="A364" i="9"/>
  <c r="A365" i="9"/>
  <c r="A366" i="9"/>
  <c r="A367" i="9"/>
  <c r="A368" i="9"/>
  <c r="A369" i="9"/>
  <c r="A370" i="9"/>
  <c r="A371" i="9"/>
  <c r="A372" i="9"/>
  <c r="A373" i="9"/>
  <c r="A374" i="9"/>
  <c r="A375" i="9"/>
  <c r="A376" i="9"/>
  <c r="A377" i="9"/>
  <c r="A378" i="9"/>
  <c r="A379" i="9"/>
  <c r="A380" i="9"/>
  <c r="A381" i="9"/>
  <c r="A382" i="9"/>
  <c r="A383" i="9"/>
  <c r="A384" i="9"/>
  <c r="A385" i="9"/>
  <c r="A386" i="9"/>
  <c r="A387" i="9"/>
  <c r="A388" i="9"/>
  <c r="A389" i="9"/>
  <c r="A390" i="9"/>
  <c r="A391" i="9"/>
  <c r="A392" i="9"/>
  <c r="A393" i="9"/>
  <c r="A394" i="9"/>
  <c r="A395" i="9"/>
  <c r="A396" i="9"/>
  <c r="A397" i="9"/>
  <c r="A398" i="9"/>
  <c r="A399" i="9"/>
  <c r="A400" i="9"/>
  <c r="A401" i="9"/>
  <c r="A402" i="9"/>
  <c r="A403" i="9"/>
  <c r="A404" i="9"/>
  <c r="A405" i="9"/>
  <c r="A406" i="9"/>
  <c r="A407" i="9"/>
  <c r="A408" i="9"/>
  <c r="A409" i="9"/>
  <c r="A410" i="9"/>
  <c r="A411" i="9"/>
  <c r="A412" i="9"/>
  <c r="A413" i="9"/>
  <c r="A414" i="9"/>
  <c r="A415" i="9"/>
  <c r="A416" i="9"/>
  <c r="A417" i="9"/>
  <c r="A418" i="9"/>
  <c r="A419" i="9"/>
  <c r="A420" i="9"/>
  <c r="A421" i="9"/>
  <c r="A422" i="9"/>
  <c r="A423" i="9"/>
  <c r="A424" i="9"/>
  <c r="A425" i="9"/>
  <c r="A426" i="9"/>
  <c r="A427" i="9"/>
  <c r="A428" i="9"/>
  <c r="A429" i="9"/>
  <c r="A430" i="9"/>
  <c r="A431" i="9"/>
  <c r="A432" i="9"/>
  <c r="A433" i="9"/>
  <c r="A434" i="9"/>
  <c r="A435" i="9"/>
  <c r="A436" i="9"/>
  <c r="A437" i="9"/>
  <c r="A438" i="9"/>
  <c r="A439" i="9"/>
  <c r="A440" i="9"/>
  <c r="A441" i="9"/>
  <c r="A442" i="9"/>
  <c r="A443" i="9"/>
  <c r="A444" i="9"/>
  <c r="A445" i="9"/>
  <c r="A446" i="9"/>
  <c r="A447" i="9"/>
  <c r="A448" i="9"/>
  <c r="A449" i="9"/>
  <c r="A450" i="9"/>
  <c r="A451" i="9"/>
  <c r="A452" i="9"/>
  <c r="A453" i="9"/>
  <c r="A454" i="9"/>
  <c r="A455" i="9"/>
  <c r="A456" i="9"/>
  <c r="A457" i="9"/>
  <c r="A458" i="9"/>
  <c r="A459" i="9"/>
  <c r="A460" i="9"/>
  <c r="A461" i="9"/>
  <c r="A462" i="9"/>
  <c r="A463" i="9"/>
  <c r="A464" i="9"/>
  <c r="A465" i="9"/>
  <c r="A466" i="9"/>
  <c r="A467" i="9"/>
  <c r="A468" i="9"/>
  <c r="A469" i="9"/>
  <c r="A470" i="9"/>
  <c r="A471" i="9"/>
  <c r="A472" i="9"/>
  <c r="A473" i="9"/>
  <c r="A474" i="9"/>
  <c r="A475" i="9"/>
  <c r="A476" i="9"/>
  <c r="A477" i="9"/>
  <c r="A478" i="9"/>
  <c r="A479" i="9"/>
  <c r="A480" i="9"/>
  <c r="A481" i="9"/>
  <c r="A482" i="9"/>
  <c r="A483" i="9"/>
  <c r="A484" i="9"/>
  <c r="A485" i="9"/>
  <c r="A486" i="9"/>
  <c r="A487" i="9"/>
  <c r="A488" i="9"/>
  <c r="A489" i="9"/>
  <c r="A490" i="9"/>
  <c r="A491" i="9"/>
  <c r="A492" i="9"/>
  <c r="A493" i="9"/>
  <c r="A494" i="9"/>
  <c r="A495" i="9"/>
  <c r="A496" i="9"/>
  <c r="A497" i="9"/>
  <c r="A498" i="9"/>
  <c r="A499" i="9"/>
  <c r="A500" i="9"/>
  <c r="A501" i="9"/>
  <c r="A502" i="9"/>
  <c r="A503" i="9"/>
  <c r="A504" i="9"/>
  <c r="A505" i="9"/>
  <c r="A506" i="9"/>
  <c r="A507" i="9"/>
  <c r="A508" i="9"/>
  <c r="A509" i="9"/>
  <c r="A510" i="9"/>
  <c r="A511" i="9"/>
  <c r="A512" i="9"/>
  <c r="A513" i="9"/>
  <c r="A514" i="9"/>
  <c r="A515" i="9"/>
  <c r="A516" i="9"/>
  <c r="A517" i="9"/>
  <c r="A518" i="9"/>
  <c r="A519" i="9"/>
  <c r="A520" i="9"/>
  <c r="A521" i="9"/>
  <c r="A522" i="9"/>
  <c r="A523" i="9"/>
  <c r="A524" i="9"/>
  <c r="A525" i="9"/>
  <c r="A526" i="9"/>
  <c r="A527" i="9"/>
  <c r="A528" i="9"/>
  <c r="A529" i="9"/>
  <c r="A530" i="9"/>
  <c r="A531" i="9"/>
  <c r="A532" i="9"/>
  <c r="A533" i="9"/>
  <c r="A534" i="9"/>
  <c r="A535" i="9"/>
  <c r="A536" i="9"/>
  <c r="A537" i="9"/>
  <c r="A538" i="9"/>
  <c r="A539" i="9"/>
  <c r="A540" i="9"/>
  <c r="A541" i="9"/>
  <c r="A542" i="9"/>
  <c r="A543" i="9"/>
  <c r="A544" i="9"/>
  <c r="A545" i="9"/>
  <c r="A546" i="9"/>
  <c r="A547" i="9"/>
  <c r="A548" i="9"/>
  <c r="A549" i="9"/>
  <c r="A550" i="9"/>
  <c r="A551" i="9"/>
  <c r="A552" i="9"/>
  <c r="A553" i="9"/>
  <c r="A554" i="9"/>
  <c r="A555" i="9"/>
  <c r="A556" i="9"/>
  <c r="A557" i="9"/>
  <c r="A558" i="9"/>
  <c r="A559" i="9"/>
  <c r="A560" i="9"/>
  <c r="A561" i="9"/>
  <c r="A562" i="9"/>
  <c r="A563" i="9"/>
  <c r="A564" i="9"/>
  <c r="A565" i="9"/>
  <c r="A566" i="9"/>
  <c r="A567" i="9"/>
  <c r="A568" i="9"/>
  <c r="A569" i="9"/>
  <c r="A570" i="9"/>
  <c r="A571" i="9"/>
  <c r="A572" i="9"/>
  <c r="A573" i="9"/>
  <c r="A574" i="9"/>
  <c r="A575" i="9"/>
  <c r="A576" i="9"/>
  <c r="A577" i="9"/>
  <c r="A578" i="9"/>
  <c r="A579" i="9"/>
  <c r="A580" i="9"/>
  <c r="A581" i="9"/>
  <c r="A582" i="9"/>
  <c r="A583" i="9"/>
  <c r="A584" i="9"/>
  <c r="A585" i="9"/>
  <c r="A586" i="9"/>
  <c r="A587" i="9"/>
  <c r="A588" i="9"/>
  <c r="A589" i="9"/>
  <c r="A590" i="9"/>
  <c r="A591" i="9"/>
  <c r="A592" i="9"/>
  <c r="A593" i="9"/>
  <c r="A594" i="9"/>
  <c r="A595" i="9"/>
  <c r="A596" i="9"/>
  <c r="A597" i="9"/>
  <c r="A598" i="9"/>
  <c r="A599" i="9"/>
  <c r="A600" i="9"/>
  <c r="A601" i="9"/>
  <c r="A602" i="9"/>
  <c r="A603" i="9"/>
  <c r="A604" i="9"/>
  <c r="A605" i="9"/>
  <c r="A606" i="9"/>
  <c r="A607" i="9"/>
  <c r="A608" i="9"/>
  <c r="A609" i="9"/>
  <c r="A610" i="9"/>
  <c r="A611" i="9"/>
  <c r="A612" i="9"/>
  <c r="A613" i="9"/>
  <c r="A614" i="9"/>
  <c r="A615" i="9"/>
  <c r="A616" i="9"/>
  <c r="A617" i="9"/>
  <c r="A618" i="9"/>
  <c r="A619" i="9"/>
  <c r="A620" i="9"/>
  <c r="A621" i="9"/>
  <c r="A622" i="9"/>
  <c r="A623" i="9"/>
  <c r="A624" i="9"/>
  <c r="A625" i="9"/>
  <c r="A626" i="9"/>
  <c r="A627" i="9"/>
  <c r="A628" i="9"/>
  <c r="A629" i="9"/>
  <c r="A630" i="9"/>
  <c r="A631" i="9"/>
  <c r="A632" i="9"/>
  <c r="A633" i="9"/>
  <c r="A634" i="9"/>
  <c r="A635" i="9"/>
  <c r="A636" i="9"/>
  <c r="A637" i="9"/>
  <c r="A638" i="9"/>
  <c r="A639" i="9"/>
  <c r="A640" i="9"/>
  <c r="A641" i="9"/>
  <c r="A642" i="9"/>
  <c r="A643" i="9"/>
  <c r="A644" i="9"/>
  <c r="A645" i="9"/>
  <c r="A646" i="9"/>
  <c r="A647" i="9"/>
  <c r="A648" i="9"/>
  <c r="A649" i="9"/>
  <c r="A650" i="9"/>
  <c r="A651" i="9"/>
  <c r="A652" i="9"/>
  <c r="A653" i="9"/>
  <c r="A654" i="9"/>
  <c r="A655" i="9"/>
  <c r="A656" i="9"/>
  <c r="A657" i="9"/>
  <c r="A658" i="9"/>
  <c r="A659" i="9"/>
  <c r="A660" i="9"/>
  <c r="A661" i="9"/>
  <c r="A662" i="9"/>
  <c r="A663" i="9"/>
  <c r="A664" i="9"/>
  <c r="A665" i="9"/>
  <c r="A666" i="9"/>
  <c r="A667" i="9"/>
  <c r="A668" i="9"/>
  <c r="A669" i="9"/>
  <c r="A670" i="9"/>
  <c r="A671" i="9"/>
  <c r="A672" i="9"/>
  <c r="A673" i="9"/>
  <c r="A674" i="9"/>
  <c r="A675" i="9"/>
  <c r="A676" i="9"/>
  <c r="A677" i="9"/>
  <c r="A678" i="9"/>
  <c r="A679" i="9"/>
  <c r="A680" i="9"/>
  <c r="A681" i="9"/>
  <c r="A682" i="9"/>
  <c r="A683" i="9"/>
  <c r="A684" i="9"/>
  <c r="A685" i="9"/>
  <c r="A686" i="9"/>
  <c r="A687" i="9"/>
  <c r="A688" i="9"/>
  <c r="A689" i="9"/>
  <c r="A690" i="9"/>
  <c r="A691" i="9"/>
  <c r="A692" i="9"/>
  <c r="A693" i="9"/>
  <c r="A694" i="9"/>
  <c r="A695" i="9"/>
  <c r="A696" i="9"/>
  <c r="A697" i="9"/>
  <c r="A698" i="9"/>
  <c r="A699" i="9"/>
  <c r="A700" i="9"/>
  <c r="A701" i="9"/>
  <c r="A702" i="9"/>
  <c r="A703" i="9"/>
  <c r="A704" i="9"/>
  <c r="A705" i="9"/>
  <c r="A706" i="9"/>
  <c r="A707" i="9"/>
  <c r="A708" i="9"/>
  <c r="A709" i="9"/>
  <c r="A710" i="9"/>
  <c r="A711" i="9"/>
  <c r="A712" i="9"/>
  <c r="A713" i="9"/>
  <c r="A714" i="9"/>
  <c r="A715" i="9"/>
  <c r="A716" i="9"/>
  <c r="A717" i="9"/>
  <c r="A718" i="9"/>
  <c r="A719" i="9"/>
  <c r="F3" i="2"/>
  <c r="B19" i="1" s="1"/>
  <c r="AA96" i="10"/>
  <c r="L15" i="2"/>
  <c r="E28" i="10" s="1"/>
  <c r="A34" i="4"/>
  <c r="O17" i="2" s="1"/>
  <c r="A35" i="4"/>
  <c r="O18" i="2" s="1"/>
  <c r="A36" i="4"/>
  <c r="P17" i="2" s="1"/>
  <c r="A37" i="4"/>
  <c r="Q17" i="2" s="1"/>
  <c r="A38" i="4"/>
  <c r="Q18" i="2" s="1"/>
  <c r="D2" i="10"/>
  <c r="D7" i="10"/>
  <c r="D27" i="10"/>
  <c r="D44" i="10"/>
  <c r="D61" i="10"/>
  <c r="D3" i="10"/>
  <c r="D8" i="10"/>
  <c r="D28" i="10"/>
  <c r="D45" i="10"/>
  <c r="D62" i="10"/>
  <c r="D4" i="10"/>
  <c r="D9" i="10"/>
  <c r="D29" i="10"/>
  <c r="D46" i="10"/>
  <c r="D63" i="10"/>
  <c r="D10" i="10"/>
  <c r="D30" i="10"/>
  <c r="D47" i="10"/>
  <c r="D64" i="10"/>
  <c r="D11" i="10"/>
  <c r="D31" i="10"/>
  <c r="D48" i="10"/>
  <c r="D65" i="10"/>
  <c r="D12" i="10"/>
  <c r="D32" i="10"/>
  <c r="D49" i="10"/>
  <c r="D66" i="10"/>
  <c r="D13" i="10"/>
  <c r="D33" i="10"/>
  <c r="D50" i="10"/>
  <c r="D67" i="10"/>
  <c r="D5" i="10"/>
  <c r="D14" i="10"/>
  <c r="D34" i="10"/>
  <c r="D51" i="10"/>
  <c r="D68" i="10"/>
  <c r="D15" i="10"/>
  <c r="D35" i="10"/>
  <c r="D52" i="10"/>
  <c r="D69" i="10"/>
  <c r="D16" i="10"/>
  <c r="D36" i="10"/>
  <c r="D53" i="10"/>
  <c r="D70" i="10"/>
  <c r="D17" i="10"/>
  <c r="D37" i="10"/>
  <c r="D54" i="10"/>
  <c r="D71" i="10"/>
  <c r="D6" i="10"/>
  <c r="D18" i="10"/>
  <c r="D38" i="10"/>
  <c r="D55" i="10"/>
  <c r="D72" i="10"/>
  <c r="D19" i="10"/>
  <c r="D39" i="10"/>
  <c r="D56" i="10"/>
  <c r="D73" i="10"/>
  <c r="D77" i="10"/>
  <c r="D86" i="10"/>
  <c r="D92" i="10"/>
  <c r="D83" i="10"/>
  <c r="D79" i="10"/>
  <c r="D81" i="10"/>
  <c r="D84" i="10"/>
  <c r="D90" i="10"/>
  <c r="D23" i="10"/>
  <c r="D24" i="10"/>
  <c r="D80" i="10"/>
  <c r="D82" i="10"/>
  <c r="D85" i="10"/>
  <c r="D91" i="10"/>
  <c r="D25" i="10"/>
  <c r="D26" i="10"/>
  <c r="D78" i="10"/>
  <c r="D87" i="10"/>
  <c r="D93" i="10"/>
  <c r="D94" i="10"/>
  <c r="D95" i="10"/>
  <c r="D20" i="10"/>
  <c r="D40" i="10"/>
  <c r="D57" i="10"/>
  <c r="D74" i="10"/>
  <c r="D21" i="10"/>
  <c r="D41" i="10"/>
  <c r="D58" i="10"/>
  <c r="D75" i="10"/>
  <c r="D22" i="10"/>
  <c r="D42" i="10"/>
  <c r="D59" i="10"/>
  <c r="D76" i="10"/>
  <c r="D88" i="10"/>
  <c r="D89" i="10"/>
  <c r="D60" i="10"/>
  <c r="D43" i="10"/>
  <c r="A7" i="10"/>
  <c r="B7" i="10"/>
  <c r="C7" i="10"/>
  <c r="A27" i="10"/>
  <c r="B27" i="10"/>
  <c r="C27" i="10"/>
  <c r="A44" i="10"/>
  <c r="B44" i="10"/>
  <c r="C44" i="10"/>
  <c r="A61" i="10"/>
  <c r="B61" i="10"/>
  <c r="C61" i="10"/>
  <c r="A3" i="10"/>
  <c r="B3" i="10"/>
  <c r="C3" i="10"/>
  <c r="A8" i="10"/>
  <c r="B8" i="10"/>
  <c r="C8" i="10"/>
  <c r="A28" i="10"/>
  <c r="B28" i="10"/>
  <c r="C28" i="10"/>
  <c r="A45" i="10"/>
  <c r="B45" i="10"/>
  <c r="C45" i="10"/>
  <c r="A62" i="10"/>
  <c r="B62" i="10"/>
  <c r="C62" i="10"/>
  <c r="A4" i="10"/>
  <c r="B4" i="10"/>
  <c r="C4" i="10"/>
  <c r="A9" i="10"/>
  <c r="B9" i="10"/>
  <c r="C9" i="10"/>
  <c r="A29" i="10"/>
  <c r="B29" i="10"/>
  <c r="C29" i="10"/>
  <c r="A46" i="10"/>
  <c r="B46" i="10"/>
  <c r="C46" i="10"/>
  <c r="A63" i="10"/>
  <c r="B63" i="10"/>
  <c r="C63" i="10"/>
  <c r="A10" i="10"/>
  <c r="B10" i="10"/>
  <c r="C10" i="10"/>
  <c r="A30" i="10"/>
  <c r="B30" i="10"/>
  <c r="C30" i="10"/>
  <c r="A47" i="10"/>
  <c r="B47" i="10"/>
  <c r="C47" i="10"/>
  <c r="A64" i="10"/>
  <c r="B64" i="10"/>
  <c r="C64" i="10"/>
  <c r="A11" i="10"/>
  <c r="B11" i="10"/>
  <c r="C11" i="10"/>
  <c r="A31" i="10"/>
  <c r="B31" i="10"/>
  <c r="C31" i="10"/>
  <c r="A48" i="10"/>
  <c r="B48" i="10"/>
  <c r="C48" i="10"/>
  <c r="A65" i="10"/>
  <c r="B65" i="10"/>
  <c r="C65" i="10"/>
  <c r="A12" i="10"/>
  <c r="B12" i="10"/>
  <c r="C12" i="10"/>
  <c r="A32" i="10"/>
  <c r="B32" i="10"/>
  <c r="C32" i="10"/>
  <c r="A49" i="10"/>
  <c r="B49" i="10"/>
  <c r="C49" i="10"/>
  <c r="A66" i="10"/>
  <c r="B66" i="10"/>
  <c r="C66" i="10"/>
  <c r="A13" i="10"/>
  <c r="B13" i="10"/>
  <c r="C13" i="10"/>
  <c r="A33" i="10"/>
  <c r="B33" i="10"/>
  <c r="C33" i="10"/>
  <c r="A50" i="10"/>
  <c r="B50" i="10"/>
  <c r="C50" i="10"/>
  <c r="A67" i="10"/>
  <c r="B67" i="10"/>
  <c r="C67" i="10"/>
  <c r="A5" i="10"/>
  <c r="B5" i="10"/>
  <c r="C5" i="10"/>
  <c r="A14" i="10"/>
  <c r="B14" i="10"/>
  <c r="C14" i="10"/>
  <c r="A34" i="10"/>
  <c r="B34" i="10"/>
  <c r="C34" i="10"/>
  <c r="A51" i="10"/>
  <c r="B51" i="10"/>
  <c r="C51" i="10"/>
  <c r="A68" i="10"/>
  <c r="B68" i="10"/>
  <c r="C68" i="10"/>
  <c r="A15" i="10"/>
  <c r="B15" i="10"/>
  <c r="C15" i="10"/>
  <c r="A35" i="10"/>
  <c r="B35" i="10"/>
  <c r="C35" i="10"/>
  <c r="A52" i="10"/>
  <c r="B52" i="10"/>
  <c r="C52" i="10"/>
  <c r="A69" i="10"/>
  <c r="B69" i="10"/>
  <c r="C69" i="10"/>
  <c r="A16" i="10"/>
  <c r="B16" i="10"/>
  <c r="C16" i="10"/>
  <c r="A36" i="10"/>
  <c r="B36" i="10"/>
  <c r="C36" i="10"/>
  <c r="A53" i="10"/>
  <c r="B53" i="10"/>
  <c r="C53" i="10"/>
  <c r="A70" i="10"/>
  <c r="B70" i="10"/>
  <c r="C70" i="10"/>
  <c r="A17" i="10"/>
  <c r="B17" i="10"/>
  <c r="C17" i="10"/>
  <c r="A37" i="10"/>
  <c r="B37" i="10"/>
  <c r="C37" i="10"/>
  <c r="A54" i="10"/>
  <c r="B54" i="10"/>
  <c r="C54" i="10"/>
  <c r="A71" i="10"/>
  <c r="B71" i="10"/>
  <c r="C71" i="10"/>
  <c r="A6" i="10"/>
  <c r="B6" i="10"/>
  <c r="C6" i="10"/>
  <c r="A18" i="10"/>
  <c r="B18" i="10"/>
  <c r="C18" i="10"/>
  <c r="A38" i="10"/>
  <c r="B38" i="10"/>
  <c r="C38" i="10"/>
  <c r="A55" i="10"/>
  <c r="B55" i="10"/>
  <c r="C55" i="10"/>
  <c r="A72" i="10"/>
  <c r="B72" i="10"/>
  <c r="C72" i="10"/>
  <c r="A19" i="10"/>
  <c r="B19" i="10"/>
  <c r="C19" i="10"/>
  <c r="A39" i="10"/>
  <c r="B39" i="10"/>
  <c r="C39" i="10"/>
  <c r="A56" i="10"/>
  <c r="B56" i="10"/>
  <c r="C56" i="10"/>
  <c r="A73" i="10"/>
  <c r="B73" i="10"/>
  <c r="C73" i="10"/>
  <c r="A77" i="10"/>
  <c r="B77" i="10"/>
  <c r="C77" i="10"/>
  <c r="A86" i="10"/>
  <c r="B86" i="10"/>
  <c r="C86" i="10"/>
  <c r="A92" i="10"/>
  <c r="B92" i="10"/>
  <c r="C92" i="10"/>
  <c r="A83" i="10"/>
  <c r="B83" i="10"/>
  <c r="C83" i="10"/>
  <c r="A79" i="10"/>
  <c r="B79" i="10"/>
  <c r="C79" i="10"/>
  <c r="A81" i="10"/>
  <c r="B81" i="10"/>
  <c r="C81" i="10"/>
  <c r="A84" i="10"/>
  <c r="B84" i="10"/>
  <c r="C84" i="10"/>
  <c r="A90" i="10"/>
  <c r="B90" i="10"/>
  <c r="C90" i="10"/>
  <c r="A23" i="10"/>
  <c r="B23" i="10"/>
  <c r="C23" i="10"/>
  <c r="A24" i="10"/>
  <c r="B24" i="10"/>
  <c r="C24" i="10"/>
  <c r="A80" i="10"/>
  <c r="B80" i="10"/>
  <c r="C80" i="10"/>
  <c r="A82" i="10"/>
  <c r="B82" i="10"/>
  <c r="C82" i="10"/>
  <c r="A85" i="10"/>
  <c r="B85" i="10"/>
  <c r="C85" i="10"/>
  <c r="A91" i="10"/>
  <c r="B91" i="10"/>
  <c r="C91" i="10"/>
  <c r="A25" i="10"/>
  <c r="B25" i="10"/>
  <c r="C25" i="10"/>
  <c r="A26" i="10"/>
  <c r="B26" i="10"/>
  <c r="C26" i="10"/>
  <c r="A78" i="10"/>
  <c r="B78" i="10"/>
  <c r="C78" i="10"/>
  <c r="A87" i="10"/>
  <c r="B87" i="10"/>
  <c r="C87" i="10"/>
  <c r="A93" i="10"/>
  <c r="B93" i="10"/>
  <c r="C93" i="10"/>
  <c r="A94" i="10"/>
  <c r="B94" i="10"/>
  <c r="C94" i="10"/>
  <c r="A95" i="10"/>
  <c r="B95" i="10"/>
  <c r="C95" i="10"/>
  <c r="A20" i="10"/>
  <c r="B20" i="10"/>
  <c r="C20" i="10"/>
  <c r="A40" i="10"/>
  <c r="B40" i="10"/>
  <c r="C40" i="10"/>
  <c r="A57" i="10"/>
  <c r="B57" i="10"/>
  <c r="C57" i="10"/>
  <c r="A74" i="10"/>
  <c r="B74" i="10"/>
  <c r="C74" i="10"/>
  <c r="A21" i="10"/>
  <c r="B21" i="10"/>
  <c r="C21" i="10"/>
  <c r="A41" i="10"/>
  <c r="B41" i="10"/>
  <c r="C41" i="10"/>
  <c r="A58" i="10"/>
  <c r="B58" i="10"/>
  <c r="C58" i="10"/>
  <c r="A75" i="10"/>
  <c r="B75" i="10"/>
  <c r="C75" i="10"/>
  <c r="A22" i="10"/>
  <c r="B22" i="10"/>
  <c r="C22" i="10"/>
  <c r="A42" i="10"/>
  <c r="B42" i="10"/>
  <c r="C42" i="10"/>
  <c r="A59" i="10"/>
  <c r="B59" i="10"/>
  <c r="C59" i="10"/>
  <c r="A76" i="10"/>
  <c r="B76" i="10"/>
  <c r="C76" i="10"/>
  <c r="A88" i="10"/>
  <c r="B88" i="10"/>
  <c r="C88" i="10"/>
  <c r="A89" i="10"/>
  <c r="B89" i="10"/>
  <c r="C89" i="10"/>
  <c r="A60" i="10"/>
  <c r="B60" i="10"/>
  <c r="C60" i="10"/>
  <c r="A43" i="10"/>
  <c r="B43" i="10"/>
  <c r="C43" i="10"/>
  <c r="C2" i="10"/>
  <c r="B2" i="10"/>
  <c r="A2" i="10"/>
  <c r="A61" i="4"/>
  <c r="K572" i="9" s="1"/>
  <c r="A62" i="4"/>
  <c r="L236" i="9" s="1"/>
  <c r="A63" i="4"/>
  <c r="L272" i="9" s="1"/>
  <c r="A64" i="4"/>
  <c r="D80" i="2" s="1"/>
  <c r="A65" i="4"/>
  <c r="A66" i="4"/>
  <c r="D81" i="2" s="1"/>
  <c r="A67" i="4"/>
  <c r="D83" i="2" s="1"/>
  <c r="A60" i="4"/>
  <c r="K573" i="9" s="1"/>
  <c r="A52" i="4"/>
  <c r="J573" i="9" s="1"/>
  <c r="A53" i="4"/>
  <c r="J422" i="9" s="1"/>
  <c r="A54" i="4"/>
  <c r="J93" i="9" s="1"/>
  <c r="A55" i="4"/>
  <c r="J272" i="9" s="1"/>
  <c r="A56" i="4"/>
  <c r="J2" i="9" s="1"/>
  <c r="A57" i="4"/>
  <c r="J574" i="9" s="1"/>
  <c r="A58" i="4"/>
  <c r="J183" i="9" s="1"/>
  <c r="A59" i="4"/>
  <c r="K695" i="9" s="1"/>
  <c r="A50" i="4"/>
  <c r="O13" i="10" s="1"/>
  <c r="A51" i="4"/>
  <c r="O19" i="10" s="1"/>
  <c r="A49" i="4"/>
  <c r="P2" i="10" s="1"/>
  <c r="A48" i="4"/>
  <c r="N88" i="10" s="1"/>
  <c r="A47" i="4"/>
  <c r="N20" i="10" s="1"/>
  <c r="A46" i="4"/>
  <c r="N2" i="10" s="1"/>
  <c r="A45" i="4"/>
  <c r="N64" i="10" s="1"/>
  <c r="D82" i="2" l="1"/>
  <c r="E91" i="10"/>
  <c r="G91" i="10" s="1"/>
  <c r="E63" i="10"/>
  <c r="G63" i="10" s="1"/>
  <c r="E95" i="10"/>
  <c r="G95" i="10" s="1"/>
  <c r="E79" i="10"/>
  <c r="G79" i="10" s="1"/>
  <c r="E35" i="10"/>
  <c r="G35" i="10" s="1"/>
  <c r="E46" i="10"/>
  <c r="G46" i="10" s="1"/>
  <c r="E94" i="10"/>
  <c r="G94" i="10" s="1"/>
  <c r="E83" i="10"/>
  <c r="G83" i="10" s="1"/>
  <c r="E17" i="10"/>
  <c r="G17" i="10" s="1"/>
  <c r="E33" i="10"/>
  <c r="G33" i="10" s="1"/>
  <c r="E61" i="10"/>
  <c r="G61" i="10" s="1"/>
  <c r="E89" i="10"/>
  <c r="G89" i="10" s="1"/>
  <c r="E41" i="10"/>
  <c r="G41" i="10" s="1"/>
  <c r="E93" i="10"/>
  <c r="G93" i="10" s="1"/>
  <c r="E80" i="10"/>
  <c r="G80" i="10" s="1"/>
  <c r="E92" i="10"/>
  <c r="G92" i="10" s="1"/>
  <c r="E55" i="10"/>
  <c r="G55" i="10" s="1"/>
  <c r="E70" i="10"/>
  <c r="G70" i="10" s="1"/>
  <c r="E68" i="10"/>
  <c r="G68" i="10" s="1"/>
  <c r="E13" i="10"/>
  <c r="G13" i="10" s="1"/>
  <c r="E11" i="10"/>
  <c r="G11" i="10" s="1"/>
  <c r="E9" i="10"/>
  <c r="G9" i="10" s="1"/>
  <c r="E44" i="10"/>
  <c r="G44" i="10" s="1"/>
  <c r="E39" i="10"/>
  <c r="G39" i="10" s="1"/>
  <c r="E19" i="10"/>
  <c r="G19" i="10" s="1"/>
  <c r="E58" i="10"/>
  <c r="G58" i="10" s="1"/>
  <c r="E82" i="10"/>
  <c r="G82" i="10" s="1"/>
  <c r="E72" i="10"/>
  <c r="G72" i="10" s="1"/>
  <c r="E15" i="10"/>
  <c r="G15" i="10" s="1"/>
  <c r="E29" i="10"/>
  <c r="G29" i="10" s="1"/>
  <c r="E88" i="10"/>
  <c r="G88" i="10" s="1"/>
  <c r="E21" i="10"/>
  <c r="G21" i="10" s="1"/>
  <c r="E87" i="10"/>
  <c r="G87" i="10" s="1"/>
  <c r="E24" i="10"/>
  <c r="G24" i="10" s="1"/>
  <c r="E86" i="10"/>
  <c r="G86" i="10" s="1"/>
  <c r="E38" i="10"/>
  <c r="G38" i="10" s="1"/>
  <c r="E53" i="10"/>
  <c r="G53" i="10" s="1"/>
  <c r="E51" i="10"/>
  <c r="G51" i="10" s="1"/>
  <c r="E66" i="10"/>
  <c r="G66" i="10" s="1"/>
  <c r="E64" i="10"/>
  <c r="G64" i="10" s="1"/>
  <c r="E4" i="10"/>
  <c r="G4" i="10" s="1"/>
  <c r="E27" i="10"/>
  <c r="G27" i="10" s="1"/>
  <c r="E52" i="10"/>
  <c r="G52" i="10" s="1"/>
  <c r="E43" i="10"/>
  <c r="G43" i="10" s="1"/>
  <c r="E75" i="10"/>
  <c r="G75" i="10" s="1"/>
  <c r="E85" i="10"/>
  <c r="G85" i="10" s="1"/>
  <c r="E37" i="10"/>
  <c r="G37" i="10" s="1"/>
  <c r="E50" i="10"/>
  <c r="G50" i="10" s="1"/>
  <c r="E48" i="10"/>
  <c r="G48" i="10" s="1"/>
  <c r="E3" i="10"/>
  <c r="G3" i="10" s="1"/>
  <c r="E60" i="10"/>
  <c r="G60" i="10" s="1"/>
  <c r="E31" i="10"/>
  <c r="G31" i="10" s="1"/>
  <c r="E76" i="10"/>
  <c r="G76" i="10" s="1"/>
  <c r="E74" i="10"/>
  <c r="G74" i="10" s="1"/>
  <c r="E78" i="10"/>
  <c r="G78" i="10" s="1"/>
  <c r="E23" i="10"/>
  <c r="G23" i="10" s="1"/>
  <c r="E77" i="10"/>
  <c r="G77" i="10" s="1"/>
  <c r="E18" i="10"/>
  <c r="G18" i="10" s="1"/>
  <c r="E36" i="10"/>
  <c r="G36" i="10" s="1"/>
  <c r="E34" i="10"/>
  <c r="G34" i="10" s="1"/>
  <c r="E49" i="10"/>
  <c r="G49" i="10" s="1"/>
  <c r="E47" i="10"/>
  <c r="G47" i="10" s="1"/>
  <c r="E62" i="10"/>
  <c r="G62" i="10" s="1"/>
  <c r="E7" i="10"/>
  <c r="G7" i="10" s="1"/>
  <c r="E22" i="10"/>
  <c r="G22" i="10" s="1"/>
  <c r="E20" i="10"/>
  <c r="G20" i="10" s="1"/>
  <c r="E81" i="10"/>
  <c r="G81" i="10" s="1"/>
  <c r="E54" i="10"/>
  <c r="G54" i="10" s="1"/>
  <c r="E67" i="10"/>
  <c r="G67" i="10" s="1"/>
  <c r="E65" i="10"/>
  <c r="G65" i="10" s="1"/>
  <c r="E8" i="10"/>
  <c r="G8" i="10" s="1"/>
  <c r="E59" i="10"/>
  <c r="G59" i="10" s="1"/>
  <c r="E57" i="10"/>
  <c r="G57" i="10" s="1"/>
  <c r="E26" i="10"/>
  <c r="G26" i="10" s="1"/>
  <c r="E90" i="10"/>
  <c r="G90" i="10" s="1"/>
  <c r="E73" i="10"/>
  <c r="G73" i="10" s="1"/>
  <c r="E6" i="10"/>
  <c r="G6" i="10" s="1"/>
  <c r="E16" i="10"/>
  <c r="G16" i="10" s="1"/>
  <c r="E14" i="10"/>
  <c r="G14" i="10" s="1"/>
  <c r="E32" i="10"/>
  <c r="G32" i="10" s="1"/>
  <c r="E30" i="10"/>
  <c r="G30" i="10" s="1"/>
  <c r="E45" i="10"/>
  <c r="G45" i="10" s="1"/>
  <c r="E2" i="10"/>
  <c r="G2" i="10" s="1"/>
  <c r="E42" i="10"/>
  <c r="G42" i="10" s="1"/>
  <c r="E40" i="10"/>
  <c r="G40" i="10" s="1"/>
  <c r="E25" i="10"/>
  <c r="G25" i="10" s="1"/>
  <c r="E84" i="10"/>
  <c r="G84" i="10" s="1"/>
  <c r="E56" i="10"/>
  <c r="G56" i="10" s="1"/>
  <c r="E71" i="10"/>
  <c r="G71" i="10" s="1"/>
  <c r="E69" i="10"/>
  <c r="G69" i="10" s="1"/>
  <c r="E5" i="10"/>
  <c r="G5" i="10" s="1"/>
  <c r="E12" i="10"/>
  <c r="G12" i="10" s="1"/>
  <c r="E10" i="10"/>
  <c r="G10" i="10" s="1"/>
  <c r="G28" i="10"/>
  <c r="L17" i="2"/>
  <c r="P18" i="2"/>
  <c r="L18" i="2" s="1"/>
  <c r="L605" i="9"/>
  <c r="L599" i="9"/>
  <c r="L389" i="9"/>
  <c r="L432" i="9"/>
  <c r="L573" i="9"/>
  <c r="L583" i="9"/>
  <c r="L541" i="9"/>
  <c r="L711" i="9"/>
  <c r="L476" i="9"/>
  <c r="L701" i="9"/>
  <c r="L468" i="9"/>
  <c r="L669" i="9"/>
  <c r="L445" i="9"/>
  <c r="L663" i="9"/>
  <c r="L535" i="9"/>
  <c r="L381" i="9"/>
  <c r="L647" i="9"/>
  <c r="L519" i="9"/>
  <c r="L357" i="9"/>
  <c r="L637" i="9"/>
  <c r="L509" i="9"/>
  <c r="L336" i="9"/>
  <c r="L717" i="9"/>
  <c r="L653" i="9"/>
  <c r="L589" i="9"/>
  <c r="L525" i="9"/>
  <c r="L453" i="9"/>
  <c r="L368" i="9"/>
  <c r="L695" i="9"/>
  <c r="L631" i="9"/>
  <c r="L567" i="9"/>
  <c r="L503" i="9"/>
  <c r="L424" i="9"/>
  <c r="L325" i="9"/>
  <c r="L685" i="9"/>
  <c r="L621" i="9"/>
  <c r="L557" i="9"/>
  <c r="L493" i="9"/>
  <c r="L412" i="9"/>
  <c r="L304" i="9"/>
  <c r="L679" i="9"/>
  <c r="L615" i="9"/>
  <c r="L551" i="9"/>
  <c r="L487" i="9"/>
  <c r="L404" i="9"/>
  <c r="L293" i="9"/>
  <c r="L716" i="9"/>
  <c r="L700" i="9"/>
  <c r="L684" i="9"/>
  <c r="L668" i="9"/>
  <c r="L652" i="9"/>
  <c r="L636" i="9"/>
  <c r="L620" i="9"/>
  <c r="L604" i="9"/>
  <c r="L588" i="9"/>
  <c r="L572" i="9"/>
  <c r="L556" i="9"/>
  <c r="L540" i="9"/>
  <c r="L524" i="9"/>
  <c r="L508" i="9"/>
  <c r="L492" i="9"/>
  <c r="L472" i="9"/>
  <c r="L452" i="9"/>
  <c r="L429" i="9"/>
  <c r="L408" i="9"/>
  <c r="L388" i="9"/>
  <c r="L365" i="9"/>
  <c r="L333" i="9"/>
  <c r="L301" i="9"/>
  <c r="L712" i="9"/>
  <c r="L696" i="9"/>
  <c r="L680" i="9"/>
  <c r="L664" i="9"/>
  <c r="L648" i="9"/>
  <c r="L632" i="9"/>
  <c r="L616" i="9"/>
  <c r="L600" i="9"/>
  <c r="L584" i="9"/>
  <c r="L568" i="9"/>
  <c r="L552" i="9"/>
  <c r="L536" i="9"/>
  <c r="L520" i="9"/>
  <c r="L504" i="9"/>
  <c r="L488" i="9"/>
  <c r="L469" i="9"/>
  <c r="L448" i="9"/>
  <c r="L428" i="9"/>
  <c r="L405" i="9"/>
  <c r="L384" i="9"/>
  <c r="L360" i="9"/>
  <c r="L328" i="9"/>
  <c r="L296" i="9"/>
  <c r="L709" i="9"/>
  <c r="L661" i="9"/>
  <c r="L629" i="9"/>
  <c r="L581" i="9"/>
  <c r="L533" i="9"/>
  <c r="L485" i="9"/>
  <c r="L421" i="9"/>
  <c r="L380" i="9"/>
  <c r="L288" i="9"/>
  <c r="L708" i="9"/>
  <c r="L692" i="9"/>
  <c r="L676" i="9"/>
  <c r="L660" i="9"/>
  <c r="L644" i="9"/>
  <c r="L628" i="9"/>
  <c r="L612" i="9"/>
  <c r="L596" i="9"/>
  <c r="L580" i="9"/>
  <c r="L564" i="9"/>
  <c r="L548" i="9"/>
  <c r="L532" i="9"/>
  <c r="L516" i="9"/>
  <c r="L500" i="9"/>
  <c r="L484" i="9"/>
  <c r="L461" i="9"/>
  <c r="L440" i="9"/>
  <c r="L420" i="9"/>
  <c r="L397" i="9"/>
  <c r="L376" i="9"/>
  <c r="L349" i="9"/>
  <c r="L317" i="9"/>
  <c r="L285" i="9"/>
  <c r="L693" i="9"/>
  <c r="L645" i="9"/>
  <c r="L597" i="9"/>
  <c r="L565" i="9"/>
  <c r="L517" i="9"/>
  <c r="L464" i="9"/>
  <c r="L444" i="9"/>
  <c r="L400" i="9"/>
  <c r="L320" i="9"/>
  <c r="L704" i="9"/>
  <c r="L688" i="9"/>
  <c r="L672" i="9"/>
  <c r="L656" i="9"/>
  <c r="L640" i="9"/>
  <c r="L624" i="9"/>
  <c r="L608" i="9"/>
  <c r="L592" i="9"/>
  <c r="L576" i="9"/>
  <c r="L560" i="9"/>
  <c r="L544" i="9"/>
  <c r="L528" i="9"/>
  <c r="L512" i="9"/>
  <c r="L496" i="9"/>
  <c r="L480" i="9"/>
  <c r="L460" i="9"/>
  <c r="L437" i="9"/>
  <c r="L416" i="9"/>
  <c r="L396" i="9"/>
  <c r="L373" i="9"/>
  <c r="L344" i="9"/>
  <c r="L312" i="9"/>
  <c r="L280" i="9"/>
  <c r="L677" i="9"/>
  <c r="L613" i="9"/>
  <c r="L549" i="9"/>
  <c r="L501" i="9"/>
  <c r="L352" i="9"/>
  <c r="L719" i="9"/>
  <c r="L703" i="9"/>
  <c r="L687" i="9"/>
  <c r="L671" i="9"/>
  <c r="L655" i="9"/>
  <c r="L639" i="9"/>
  <c r="L623" i="9"/>
  <c r="L607" i="9"/>
  <c r="L591" i="9"/>
  <c r="L575" i="9"/>
  <c r="L559" i="9"/>
  <c r="L543" i="9"/>
  <c r="L527" i="9"/>
  <c r="L511" i="9"/>
  <c r="L495" i="9"/>
  <c r="L477" i="9"/>
  <c r="L456" i="9"/>
  <c r="L436" i="9"/>
  <c r="L413" i="9"/>
  <c r="L392" i="9"/>
  <c r="L372" i="9"/>
  <c r="L341" i="9"/>
  <c r="L309" i="9"/>
  <c r="L277" i="9"/>
  <c r="L479" i="9"/>
  <c r="L471" i="9"/>
  <c r="L463" i="9"/>
  <c r="L455" i="9"/>
  <c r="L447" i="9"/>
  <c r="L439" i="9"/>
  <c r="L431" i="9"/>
  <c r="L423" i="9"/>
  <c r="L415" i="9"/>
  <c r="L407" i="9"/>
  <c r="L399" i="9"/>
  <c r="L391" i="9"/>
  <c r="L383" i="9"/>
  <c r="L375" i="9"/>
  <c r="L367" i="9"/>
  <c r="L359" i="9"/>
  <c r="L351" i="9"/>
  <c r="L343" i="9"/>
  <c r="L335" i="9"/>
  <c r="L327" i="9"/>
  <c r="L319" i="9"/>
  <c r="L311" i="9"/>
  <c r="L303" i="9"/>
  <c r="L295" i="9"/>
  <c r="L287" i="9"/>
  <c r="L279" i="9"/>
  <c r="L718" i="9"/>
  <c r="L710" i="9"/>
  <c r="L702" i="9"/>
  <c r="L694" i="9"/>
  <c r="L686" i="9"/>
  <c r="L678" i="9"/>
  <c r="L670" i="9"/>
  <c r="L662" i="9"/>
  <c r="L654" i="9"/>
  <c r="L646" i="9"/>
  <c r="L638" i="9"/>
  <c r="L630" i="9"/>
  <c r="L622" i="9"/>
  <c r="L614" i="9"/>
  <c r="L606" i="9"/>
  <c r="L598" i="9"/>
  <c r="L590" i="9"/>
  <c r="L582" i="9"/>
  <c r="L574" i="9"/>
  <c r="L566" i="9"/>
  <c r="L558" i="9"/>
  <c r="L550" i="9"/>
  <c r="L542" i="9"/>
  <c r="L534" i="9"/>
  <c r="L526" i="9"/>
  <c r="L518" i="9"/>
  <c r="L510" i="9"/>
  <c r="L502" i="9"/>
  <c r="L494" i="9"/>
  <c r="L486" i="9"/>
  <c r="L478" i="9"/>
  <c r="L470" i="9"/>
  <c r="L462" i="9"/>
  <c r="L454" i="9"/>
  <c r="L446" i="9"/>
  <c r="L438" i="9"/>
  <c r="L430" i="9"/>
  <c r="L422" i="9"/>
  <c r="L414" i="9"/>
  <c r="L406" i="9"/>
  <c r="L398" i="9"/>
  <c r="L390" i="9"/>
  <c r="L382" i="9"/>
  <c r="L374" i="9"/>
  <c r="L366" i="9"/>
  <c r="L358" i="9"/>
  <c r="L350" i="9"/>
  <c r="L342" i="9"/>
  <c r="L334" i="9"/>
  <c r="L326" i="9"/>
  <c r="L318" i="9"/>
  <c r="L310" i="9"/>
  <c r="L302" i="9"/>
  <c r="L294" i="9"/>
  <c r="L286" i="9"/>
  <c r="L278" i="9"/>
  <c r="L364" i="9"/>
  <c r="L356" i="9"/>
  <c r="L348" i="9"/>
  <c r="L340" i="9"/>
  <c r="L332" i="9"/>
  <c r="L324" i="9"/>
  <c r="L316" i="9"/>
  <c r="L308" i="9"/>
  <c r="L300" i="9"/>
  <c r="L292" i="9"/>
  <c r="L284" i="9"/>
  <c r="L276" i="9"/>
  <c r="L715" i="9"/>
  <c r="L707" i="9"/>
  <c r="L699" i="9"/>
  <c r="L691" i="9"/>
  <c r="L683" i="9"/>
  <c r="L675" i="9"/>
  <c r="L667" i="9"/>
  <c r="L659" i="9"/>
  <c r="L651" i="9"/>
  <c r="L643" i="9"/>
  <c r="L635" i="9"/>
  <c r="L627" i="9"/>
  <c r="L619" i="9"/>
  <c r="L611" i="9"/>
  <c r="L603" i="9"/>
  <c r="L595" i="9"/>
  <c r="L587" i="9"/>
  <c r="L579" i="9"/>
  <c r="L571" i="9"/>
  <c r="L563" i="9"/>
  <c r="L555" i="9"/>
  <c r="L547" i="9"/>
  <c r="L539" i="9"/>
  <c r="L531" i="9"/>
  <c r="L523" i="9"/>
  <c r="L515" i="9"/>
  <c r="L507" i="9"/>
  <c r="L499" i="9"/>
  <c r="L491" i="9"/>
  <c r="L483" i="9"/>
  <c r="L475" i="9"/>
  <c r="L467" i="9"/>
  <c r="L459" i="9"/>
  <c r="L451" i="9"/>
  <c r="L443" i="9"/>
  <c r="L435" i="9"/>
  <c r="L427" i="9"/>
  <c r="L419" i="9"/>
  <c r="L411" i="9"/>
  <c r="L403" i="9"/>
  <c r="L395" i="9"/>
  <c r="L387" i="9"/>
  <c r="L379" i="9"/>
  <c r="L371" i="9"/>
  <c r="L363" i="9"/>
  <c r="L355" i="9"/>
  <c r="L347" i="9"/>
  <c r="L339" i="9"/>
  <c r="L331" i="9"/>
  <c r="L323" i="9"/>
  <c r="L315" i="9"/>
  <c r="L307" i="9"/>
  <c r="L299" i="9"/>
  <c r="L291" i="9"/>
  <c r="L283" i="9"/>
  <c r="L275" i="9"/>
  <c r="L714" i="9"/>
  <c r="L706" i="9"/>
  <c r="L698" i="9"/>
  <c r="L690" i="9"/>
  <c r="L682" i="9"/>
  <c r="L674" i="9"/>
  <c r="L666" i="9"/>
  <c r="L658" i="9"/>
  <c r="L650" i="9"/>
  <c r="L642" i="9"/>
  <c r="L634" i="9"/>
  <c r="L626" i="9"/>
  <c r="L618" i="9"/>
  <c r="L610" i="9"/>
  <c r="L602" i="9"/>
  <c r="L594" i="9"/>
  <c r="L586" i="9"/>
  <c r="L578" i="9"/>
  <c r="L570" i="9"/>
  <c r="L562" i="9"/>
  <c r="L554" i="9"/>
  <c r="L546" i="9"/>
  <c r="L538" i="9"/>
  <c r="L530" i="9"/>
  <c r="L522" i="9"/>
  <c r="L514" i="9"/>
  <c r="L506" i="9"/>
  <c r="L498" i="9"/>
  <c r="L490" i="9"/>
  <c r="L482" i="9"/>
  <c r="L474" i="9"/>
  <c r="L466" i="9"/>
  <c r="L458" i="9"/>
  <c r="L450" i="9"/>
  <c r="L442" i="9"/>
  <c r="L434" i="9"/>
  <c r="L426" i="9"/>
  <c r="L418" i="9"/>
  <c r="L410" i="9"/>
  <c r="L402" i="9"/>
  <c r="L394" i="9"/>
  <c r="L386" i="9"/>
  <c r="L378" i="9"/>
  <c r="L370" i="9"/>
  <c r="L362" i="9"/>
  <c r="L354" i="9"/>
  <c r="L346" i="9"/>
  <c r="L338" i="9"/>
  <c r="L330" i="9"/>
  <c r="L322" i="9"/>
  <c r="L314" i="9"/>
  <c r="L306" i="9"/>
  <c r="L298" i="9"/>
  <c r="L290" i="9"/>
  <c r="L282" i="9"/>
  <c r="L274" i="9"/>
  <c r="L713" i="9"/>
  <c r="L705" i="9"/>
  <c r="L697" i="9"/>
  <c r="L689" i="9"/>
  <c r="L681" i="9"/>
  <c r="L673" i="9"/>
  <c r="L665" i="9"/>
  <c r="L657" i="9"/>
  <c r="L649" i="9"/>
  <c r="L641" i="9"/>
  <c r="L633" i="9"/>
  <c r="L625" i="9"/>
  <c r="L617" i="9"/>
  <c r="L609" i="9"/>
  <c r="L601" i="9"/>
  <c r="L593" i="9"/>
  <c r="L585" i="9"/>
  <c r="L577" i="9"/>
  <c r="L569" i="9"/>
  <c r="L561" i="9"/>
  <c r="L553" i="9"/>
  <c r="L545" i="9"/>
  <c r="L537" i="9"/>
  <c r="L529" i="9"/>
  <c r="L521" i="9"/>
  <c r="L513" i="9"/>
  <c r="L505" i="9"/>
  <c r="L497" i="9"/>
  <c r="L489" i="9"/>
  <c r="L481" i="9"/>
  <c r="L473" i="9"/>
  <c r="L465" i="9"/>
  <c r="L457" i="9"/>
  <c r="L449" i="9"/>
  <c r="L441" i="9"/>
  <c r="L433" i="9"/>
  <c r="L425" i="9"/>
  <c r="L417" i="9"/>
  <c r="L409" i="9"/>
  <c r="L401" i="9"/>
  <c r="L393" i="9"/>
  <c r="L385" i="9"/>
  <c r="L377" i="9"/>
  <c r="L369" i="9"/>
  <c r="L361" i="9"/>
  <c r="L353" i="9"/>
  <c r="L345" i="9"/>
  <c r="L337" i="9"/>
  <c r="L329" i="9"/>
  <c r="L321" i="9"/>
  <c r="L313" i="9"/>
  <c r="L305" i="9"/>
  <c r="L297" i="9"/>
  <c r="L289" i="9"/>
  <c r="L281" i="9"/>
  <c r="L273" i="9"/>
  <c r="L262" i="9"/>
  <c r="L260" i="9"/>
  <c r="L246" i="9"/>
  <c r="L244" i="9"/>
  <c r="L268" i="9"/>
  <c r="L252" i="9"/>
  <c r="L267" i="9"/>
  <c r="L251" i="9"/>
  <c r="L266" i="9"/>
  <c r="L250" i="9"/>
  <c r="L259" i="9"/>
  <c r="L243" i="9"/>
  <c r="L258" i="9"/>
  <c r="L242" i="9"/>
  <c r="L270" i="9"/>
  <c r="L254" i="9"/>
  <c r="L238" i="9"/>
  <c r="L265" i="9"/>
  <c r="L257" i="9"/>
  <c r="L249" i="9"/>
  <c r="L241" i="9"/>
  <c r="L264" i="9"/>
  <c r="L256" i="9"/>
  <c r="L248" i="9"/>
  <c r="L240" i="9"/>
  <c r="L271" i="9"/>
  <c r="L263" i="9"/>
  <c r="L255" i="9"/>
  <c r="L247" i="9"/>
  <c r="L239" i="9"/>
  <c r="L269" i="9"/>
  <c r="L261" i="9"/>
  <c r="L253" i="9"/>
  <c r="L245" i="9"/>
  <c r="L237" i="9"/>
  <c r="K421" i="9"/>
  <c r="K449" i="9"/>
  <c r="K348" i="9"/>
  <c r="K439" i="9"/>
  <c r="K499" i="9"/>
  <c r="K592" i="9"/>
  <c r="K677" i="9"/>
  <c r="K672" i="9"/>
  <c r="K289" i="9"/>
  <c r="K440" i="9"/>
  <c r="K525" i="9"/>
  <c r="K593" i="9"/>
  <c r="K678" i="9"/>
  <c r="K563" i="9"/>
  <c r="K468" i="9"/>
  <c r="K385" i="9"/>
  <c r="K629" i="9"/>
  <c r="K319" i="9"/>
  <c r="K404" i="9"/>
  <c r="K497" i="9"/>
  <c r="K555" i="9"/>
  <c r="K650" i="9"/>
  <c r="K448" i="9"/>
  <c r="K347" i="9"/>
  <c r="K687" i="9"/>
  <c r="K349" i="9"/>
  <c r="K673" i="9"/>
  <c r="K507" i="9"/>
  <c r="K290" i="9"/>
  <c r="K375" i="9"/>
  <c r="K441" i="9"/>
  <c r="K526" i="9"/>
  <c r="K619" i="9"/>
  <c r="K679" i="9"/>
  <c r="K326" i="9"/>
  <c r="K562" i="9"/>
  <c r="K291" i="9"/>
  <c r="K376" i="9"/>
  <c r="K467" i="9"/>
  <c r="K527" i="9"/>
  <c r="K620" i="9"/>
  <c r="K705" i="9"/>
  <c r="K327" i="9"/>
  <c r="K317" i="9"/>
  <c r="K377" i="9"/>
  <c r="K553" i="9"/>
  <c r="K621" i="9"/>
  <c r="K706" i="9"/>
  <c r="K686" i="9"/>
  <c r="K405" i="9"/>
  <c r="K498" i="9"/>
  <c r="K591" i="9"/>
  <c r="K651" i="9"/>
  <c r="K433" i="9"/>
  <c r="K506" i="9"/>
  <c r="K384" i="9"/>
  <c r="K628" i="9"/>
  <c r="K318" i="9"/>
  <c r="K403" i="9"/>
  <c r="K469" i="9"/>
  <c r="K554" i="9"/>
  <c r="K649" i="9"/>
  <c r="K707" i="9"/>
  <c r="K298" i="9"/>
  <c r="K476" i="9"/>
  <c r="K658" i="9"/>
  <c r="K370" i="9"/>
  <c r="K613" i="9"/>
  <c r="K324" i="9"/>
  <c r="K382" i="9"/>
  <c r="K446" i="9"/>
  <c r="K504" i="9"/>
  <c r="K560" i="9"/>
  <c r="K626" i="9"/>
  <c r="K684" i="9"/>
  <c r="K549" i="9"/>
  <c r="K412" i="9"/>
  <c r="K600" i="9"/>
  <c r="K371" i="9"/>
  <c r="K614" i="9"/>
  <c r="K325" i="9"/>
  <c r="K383" i="9"/>
  <c r="K447" i="9"/>
  <c r="K505" i="9"/>
  <c r="K561" i="9"/>
  <c r="K627" i="9"/>
  <c r="K685" i="9"/>
  <c r="K491" i="9"/>
  <c r="K296" i="9"/>
  <c r="K354" i="9"/>
  <c r="K410" i="9"/>
  <c r="K474" i="9"/>
  <c r="K532" i="9"/>
  <c r="K598" i="9"/>
  <c r="K656" i="9"/>
  <c r="K712" i="9"/>
  <c r="K492" i="9"/>
  <c r="K297" i="9"/>
  <c r="K355" i="9"/>
  <c r="K411" i="9"/>
  <c r="K475" i="9"/>
  <c r="K533" i="9"/>
  <c r="K599" i="9"/>
  <c r="K657" i="9"/>
  <c r="K713" i="9"/>
  <c r="K311" i="9"/>
  <c r="K356" i="9"/>
  <c r="K534" i="9"/>
  <c r="K714" i="9"/>
  <c r="K312" i="9"/>
  <c r="K565" i="9"/>
  <c r="K299" i="9"/>
  <c r="K357" i="9"/>
  <c r="K413" i="9"/>
  <c r="K477" i="9"/>
  <c r="K535" i="9"/>
  <c r="K601" i="9"/>
  <c r="K659" i="9"/>
  <c r="K715" i="9"/>
  <c r="K283" i="9"/>
  <c r="K342" i="9"/>
  <c r="K415" i="9"/>
  <c r="K462" i="9"/>
  <c r="K521" i="9"/>
  <c r="K585" i="9"/>
  <c r="K644" i="9"/>
  <c r="K284" i="9"/>
  <c r="K343" i="9"/>
  <c r="K417" i="9"/>
  <c r="K463" i="9"/>
  <c r="K547" i="9"/>
  <c r="K586" i="9"/>
  <c r="K645" i="9"/>
  <c r="K285" i="9"/>
  <c r="K369" i="9"/>
  <c r="K419" i="9"/>
  <c r="K490" i="9"/>
  <c r="K548" i="9"/>
  <c r="K587" i="9"/>
  <c r="K671" i="9"/>
  <c r="K313" i="9"/>
  <c r="K397" i="9"/>
  <c r="K434" i="9"/>
  <c r="K493" i="9"/>
  <c r="K567" i="9"/>
  <c r="K615" i="9"/>
  <c r="K699" i="9"/>
  <c r="K340" i="9"/>
  <c r="K398" i="9"/>
  <c r="K519" i="9"/>
  <c r="K569" i="9"/>
  <c r="K642" i="9"/>
  <c r="K700" i="9"/>
  <c r="K435" i="9"/>
  <c r="K341" i="9"/>
  <c r="K399" i="9"/>
  <c r="K461" i="9"/>
  <c r="K520" i="9"/>
  <c r="K571" i="9"/>
  <c r="K643" i="9"/>
  <c r="K701" i="9"/>
  <c r="K304" i="9"/>
  <c r="K362" i="9"/>
  <c r="K426" i="9"/>
  <c r="K482" i="9"/>
  <c r="K540" i="9"/>
  <c r="K606" i="9"/>
  <c r="K664" i="9"/>
  <c r="K305" i="9"/>
  <c r="K363" i="9"/>
  <c r="K427" i="9"/>
  <c r="K483" i="9"/>
  <c r="K541" i="9"/>
  <c r="K607" i="9"/>
  <c r="K665" i="9"/>
  <c r="K306" i="9"/>
  <c r="K364" i="9"/>
  <c r="K428" i="9"/>
  <c r="K484" i="9"/>
  <c r="K542" i="9"/>
  <c r="K608" i="9"/>
  <c r="K666" i="9"/>
  <c r="K307" i="9"/>
  <c r="K365" i="9"/>
  <c r="K429" i="9"/>
  <c r="K485" i="9"/>
  <c r="K543" i="9"/>
  <c r="K609" i="9"/>
  <c r="K667" i="9"/>
  <c r="K276" i="9"/>
  <c r="K332" i="9"/>
  <c r="K390" i="9"/>
  <c r="K454" i="9"/>
  <c r="K512" i="9"/>
  <c r="K578" i="9"/>
  <c r="K634" i="9"/>
  <c r="K692" i="9"/>
  <c r="K277" i="9"/>
  <c r="K333" i="9"/>
  <c r="K391" i="9"/>
  <c r="K455" i="9"/>
  <c r="K513" i="9"/>
  <c r="K579" i="9"/>
  <c r="K635" i="9"/>
  <c r="K693" i="9"/>
  <c r="K278" i="9"/>
  <c r="K334" i="9"/>
  <c r="K392" i="9"/>
  <c r="K456" i="9"/>
  <c r="K514" i="9"/>
  <c r="K580" i="9"/>
  <c r="K636" i="9"/>
  <c r="K694" i="9"/>
  <c r="K279" i="9"/>
  <c r="K335" i="9"/>
  <c r="K393" i="9"/>
  <c r="K457" i="9"/>
  <c r="K515" i="9"/>
  <c r="K581" i="9"/>
  <c r="K637" i="9"/>
  <c r="J182" i="9"/>
  <c r="J233" i="9"/>
  <c r="J240" i="9"/>
  <c r="J208" i="9"/>
  <c r="J198" i="9"/>
  <c r="J250" i="9"/>
  <c r="J211" i="9"/>
  <c r="J219" i="9"/>
  <c r="J241" i="9"/>
  <c r="J209" i="9"/>
  <c r="J262" i="9"/>
  <c r="J230" i="9"/>
  <c r="J196" i="9"/>
  <c r="J260" i="9"/>
  <c r="J228" i="9"/>
  <c r="J190" i="9"/>
  <c r="J254" i="9"/>
  <c r="J187" i="9"/>
  <c r="J251" i="9"/>
  <c r="J218" i="9"/>
  <c r="J186" i="9"/>
  <c r="J265" i="9"/>
  <c r="J243" i="9"/>
  <c r="J222" i="9"/>
  <c r="J201" i="9"/>
  <c r="J264" i="9"/>
  <c r="J242" i="9"/>
  <c r="J220" i="9"/>
  <c r="J200" i="9"/>
  <c r="J252" i="9"/>
  <c r="J232" i="9"/>
  <c r="J210" i="9"/>
  <c r="J188" i="9"/>
  <c r="J267" i="9"/>
  <c r="J257" i="9"/>
  <c r="J246" i="9"/>
  <c r="J235" i="9"/>
  <c r="J225" i="9"/>
  <c r="J214" i="9"/>
  <c r="J203" i="9"/>
  <c r="J193" i="9"/>
  <c r="J270" i="9"/>
  <c r="J266" i="9"/>
  <c r="J256" i="9"/>
  <c r="J244" i="9"/>
  <c r="J234" i="9"/>
  <c r="J224" i="9"/>
  <c r="J212" i="9"/>
  <c r="J202" i="9"/>
  <c r="J192" i="9"/>
  <c r="J259" i="9"/>
  <c r="J249" i="9"/>
  <c r="J238" i="9"/>
  <c r="J227" i="9"/>
  <c r="J217" i="9"/>
  <c r="J206" i="9"/>
  <c r="J195" i="9"/>
  <c r="J185" i="9"/>
  <c r="J268" i="9"/>
  <c r="J258" i="9"/>
  <c r="J248" i="9"/>
  <c r="J236" i="9"/>
  <c r="J226" i="9"/>
  <c r="J216" i="9"/>
  <c r="J204" i="9"/>
  <c r="J194" i="9"/>
  <c r="J184" i="9"/>
  <c r="J269" i="9"/>
  <c r="J261" i="9"/>
  <c r="J253" i="9"/>
  <c r="J245" i="9"/>
  <c r="J237" i="9"/>
  <c r="J229" i="9"/>
  <c r="J221" i="9"/>
  <c r="J213" i="9"/>
  <c r="J205" i="9"/>
  <c r="J197" i="9"/>
  <c r="J189" i="9"/>
  <c r="J271" i="9"/>
  <c r="J263" i="9"/>
  <c r="J255" i="9"/>
  <c r="J247" i="9"/>
  <c r="J239" i="9"/>
  <c r="J231" i="9"/>
  <c r="J223" i="9"/>
  <c r="J215" i="9"/>
  <c r="J207" i="9"/>
  <c r="J199" i="9"/>
  <c r="J191" i="9"/>
  <c r="J700" i="9"/>
  <c r="J668" i="9"/>
  <c r="J636" i="9"/>
  <c r="J604" i="9"/>
  <c r="J676" i="9"/>
  <c r="J580" i="9"/>
  <c r="J699" i="9"/>
  <c r="J667" i="9"/>
  <c r="J635" i="9"/>
  <c r="J603" i="9"/>
  <c r="J708" i="9"/>
  <c r="J644" i="9"/>
  <c r="J612" i="9"/>
  <c r="J707" i="9"/>
  <c r="J675" i="9"/>
  <c r="J643" i="9"/>
  <c r="J611" i="9"/>
  <c r="J579" i="9"/>
  <c r="J692" i="9"/>
  <c r="J660" i="9"/>
  <c r="J628" i="9"/>
  <c r="J596" i="9"/>
  <c r="J691" i="9"/>
  <c r="J659" i="9"/>
  <c r="J627" i="9"/>
  <c r="J595" i="9"/>
  <c r="J716" i="9"/>
  <c r="J684" i="9"/>
  <c r="J652" i="9"/>
  <c r="J620" i="9"/>
  <c r="J588" i="9"/>
  <c r="J715" i="9"/>
  <c r="J683" i="9"/>
  <c r="J651" i="9"/>
  <c r="J619" i="9"/>
  <c r="J587" i="9"/>
  <c r="J706" i="9"/>
  <c r="J690" i="9"/>
  <c r="J674" i="9"/>
  <c r="J712" i="9"/>
  <c r="J696" i="9"/>
  <c r="J680" i="9"/>
  <c r="J664" i="9"/>
  <c r="J648" i="9"/>
  <c r="J632" i="9"/>
  <c r="J616" i="9"/>
  <c r="J600" i="9"/>
  <c r="J584" i="9"/>
  <c r="J718" i="9"/>
  <c r="J710" i="9"/>
  <c r="J702" i="9"/>
  <c r="J694" i="9"/>
  <c r="J686" i="9"/>
  <c r="J678" i="9"/>
  <c r="J670" i="9"/>
  <c r="J662" i="9"/>
  <c r="J654" i="9"/>
  <c r="J646" i="9"/>
  <c r="J638" i="9"/>
  <c r="J630" i="9"/>
  <c r="J622" i="9"/>
  <c r="J614" i="9"/>
  <c r="J606" i="9"/>
  <c r="J598" i="9"/>
  <c r="J590" i="9"/>
  <c r="J582" i="9"/>
  <c r="J717" i="9"/>
  <c r="J709" i="9"/>
  <c r="J701" i="9"/>
  <c r="J693" i="9"/>
  <c r="J685" i="9"/>
  <c r="J677" i="9"/>
  <c r="J669" i="9"/>
  <c r="J661" i="9"/>
  <c r="J653" i="9"/>
  <c r="J645" i="9"/>
  <c r="J637" i="9"/>
  <c r="J629" i="9"/>
  <c r="J621" i="9"/>
  <c r="J613" i="9"/>
  <c r="J605" i="9"/>
  <c r="J597" i="9"/>
  <c r="J589" i="9"/>
  <c r="J581" i="9"/>
  <c r="J714" i="9"/>
  <c r="J698" i="9"/>
  <c r="J682" i="9"/>
  <c r="J666" i="9"/>
  <c r="J658" i="9"/>
  <c r="J650" i="9"/>
  <c r="J642" i="9"/>
  <c r="J634" i="9"/>
  <c r="J626" i="9"/>
  <c r="J618" i="9"/>
  <c r="J610" i="9"/>
  <c r="J602" i="9"/>
  <c r="J594" i="9"/>
  <c r="J586" i="9"/>
  <c r="J578" i="9"/>
  <c r="J713" i="9"/>
  <c r="J705" i="9"/>
  <c r="J697" i="9"/>
  <c r="J689" i="9"/>
  <c r="J681" i="9"/>
  <c r="J673" i="9"/>
  <c r="J665" i="9"/>
  <c r="J657" i="9"/>
  <c r="J649" i="9"/>
  <c r="J641" i="9"/>
  <c r="J633" i="9"/>
  <c r="J625" i="9"/>
  <c r="J617" i="9"/>
  <c r="J609" i="9"/>
  <c r="J601" i="9"/>
  <c r="J593" i="9"/>
  <c r="J585" i="9"/>
  <c r="J577" i="9"/>
  <c r="J704" i="9"/>
  <c r="J688" i="9"/>
  <c r="J672" i="9"/>
  <c r="J656" i="9"/>
  <c r="J640" i="9"/>
  <c r="J624" i="9"/>
  <c r="J608" i="9"/>
  <c r="J592" i="9"/>
  <c r="J576" i="9"/>
  <c r="J719" i="9"/>
  <c r="J711" i="9"/>
  <c r="J703" i="9"/>
  <c r="J695" i="9"/>
  <c r="J687" i="9"/>
  <c r="J679" i="9"/>
  <c r="J671" i="9"/>
  <c r="J663" i="9"/>
  <c r="J655" i="9"/>
  <c r="J647" i="9"/>
  <c r="J639" i="9"/>
  <c r="J631" i="9"/>
  <c r="J623" i="9"/>
  <c r="J615" i="9"/>
  <c r="J607" i="9"/>
  <c r="J599" i="9"/>
  <c r="J591" i="9"/>
  <c r="J583" i="9"/>
  <c r="J575" i="9"/>
  <c r="J87" i="9"/>
  <c r="J55" i="9"/>
  <c r="J71" i="9"/>
  <c r="J39" i="9"/>
  <c r="J91" i="9"/>
  <c r="J75" i="9"/>
  <c r="J59" i="9"/>
  <c r="J43" i="9"/>
  <c r="J23" i="9"/>
  <c r="J88" i="9"/>
  <c r="J72" i="9"/>
  <c r="J56" i="9"/>
  <c r="J40" i="9"/>
  <c r="J20" i="9"/>
  <c r="J16" i="9"/>
  <c r="J84" i="9"/>
  <c r="J68" i="9"/>
  <c r="J52" i="9"/>
  <c r="J36" i="9"/>
  <c r="J15" i="9"/>
  <c r="J83" i="9"/>
  <c r="J67" i="9"/>
  <c r="J51" i="9"/>
  <c r="J32" i="9"/>
  <c r="J12" i="9"/>
  <c r="J80" i="9"/>
  <c r="J64" i="9"/>
  <c r="J48" i="9"/>
  <c r="J31" i="9"/>
  <c r="J8" i="9"/>
  <c r="J79" i="9"/>
  <c r="J63" i="9"/>
  <c r="J47" i="9"/>
  <c r="J28" i="9"/>
  <c r="J7" i="9"/>
  <c r="J76" i="9"/>
  <c r="J60" i="9"/>
  <c r="J44" i="9"/>
  <c r="J24" i="9"/>
  <c r="J4" i="9"/>
  <c r="J392" i="9"/>
  <c r="J90" i="9"/>
  <c r="J82" i="9"/>
  <c r="J74" i="9"/>
  <c r="J66" i="9"/>
  <c r="J58" i="9"/>
  <c r="J50" i="9"/>
  <c r="J42" i="9"/>
  <c r="J34" i="9"/>
  <c r="J26" i="9"/>
  <c r="J18" i="9"/>
  <c r="J10" i="9"/>
  <c r="J89" i="9"/>
  <c r="J81" i="9"/>
  <c r="J73" i="9"/>
  <c r="J65" i="9"/>
  <c r="J57" i="9"/>
  <c r="J49" i="9"/>
  <c r="J41" i="9"/>
  <c r="J33" i="9"/>
  <c r="J25" i="9"/>
  <c r="J17" i="9"/>
  <c r="J9" i="9"/>
  <c r="J86" i="9"/>
  <c r="J78" i="9"/>
  <c r="J70" i="9"/>
  <c r="J62" i="9"/>
  <c r="J54" i="9"/>
  <c r="J46" i="9"/>
  <c r="J38" i="9"/>
  <c r="J30" i="9"/>
  <c r="J22" i="9"/>
  <c r="J14" i="9"/>
  <c r="J6" i="9"/>
  <c r="J85" i="9"/>
  <c r="J77" i="9"/>
  <c r="J69" i="9"/>
  <c r="J61" i="9"/>
  <c r="J53" i="9"/>
  <c r="J45" i="9"/>
  <c r="J37" i="9"/>
  <c r="J29" i="9"/>
  <c r="J21" i="9"/>
  <c r="J13" i="9"/>
  <c r="J5" i="9"/>
  <c r="J35" i="9"/>
  <c r="J27" i="9"/>
  <c r="J19" i="9"/>
  <c r="J11" i="9"/>
  <c r="J3" i="9"/>
  <c r="J412" i="9"/>
  <c r="J320" i="9"/>
  <c r="J372" i="9"/>
  <c r="J346" i="9"/>
  <c r="J294" i="9"/>
  <c r="J386" i="9"/>
  <c r="J336" i="9"/>
  <c r="J285" i="9"/>
  <c r="J418" i="9"/>
  <c r="J397" i="9"/>
  <c r="J374" i="9"/>
  <c r="J349" i="9"/>
  <c r="J324" i="9"/>
  <c r="J298" i="9"/>
  <c r="J410" i="9"/>
  <c r="J388" i="9"/>
  <c r="J366" i="9"/>
  <c r="J341" i="9"/>
  <c r="J316" i="9"/>
  <c r="J290" i="9"/>
  <c r="J382" i="9"/>
  <c r="J308" i="9"/>
  <c r="J413" i="9"/>
  <c r="J396" i="9"/>
  <c r="J373" i="9"/>
  <c r="J348" i="9"/>
  <c r="J322" i="9"/>
  <c r="J296" i="9"/>
  <c r="J405" i="9"/>
  <c r="J384" i="9"/>
  <c r="J360" i="9"/>
  <c r="J334" i="9"/>
  <c r="J309" i="9"/>
  <c r="J284" i="9"/>
  <c r="J408" i="9"/>
  <c r="J362" i="9"/>
  <c r="J310" i="9"/>
  <c r="J400" i="9"/>
  <c r="J358" i="9"/>
  <c r="J333" i="9"/>
  <c r="J282" i="9"/>
  <c r="J421" i="9"/>
  <c r="J398" i="9"/>
  <c r="J380" i="9"/>
  <c r="J354" i="9"/>
  <c r="J328" i="9"/>
  <c r="J302" i="9"/>
  <c r="J276" i="9"/>
  <c r="J414" i="9"/>
  <c r="J402" i="9"/>
  <c r="J389" i="9"/>
  <c r="J376" i="9"/>
  <c r="J364" i="9"/>
  <c r="J350" i="9"/>
  <c r="J338" i="9"/>
  <c r="J325" i="9"/>
  <c r="J312" i="9"/>
  <c r="J300" i="9"/>
  <c r="J286" i="9"/>
  <c r="J370" i="9"/>
  <c r="J357" i="9"/>
  <c r="J344" i="9"/>
  <c r="J332" i="9"/>
  <c r="J318" i="9"/>
  <c r="J306" i="9"/>
  <c r="J293" i="9"/>
  <c r="J278" i="9"/>
  <c r="J420" i="9"/>
  <c r="J406" i="9"/>
  <c r="J394" i="9"/>
  <c r="J381" i="9"/>
  <c r="J368" i="9"/>
  <c r="J356" i="9"/>
  <c r="J342" i="9"/>
  <c r="J330" i="9"/>
  <c r="J317" i="9"/>
  <c r="J304" i="9"/>
  <c r="J292" i="9"/>
  <c r="J277" i="9"/>
  <c r="J416" i="9"/>
  <c r="J404" i="9"/>
  <c r="J390" i="9"/>
  <c r="J378" i="9"/>
  <c r="J365" i="9"/>
  <c r="J352" i="9"/>
  <c r="J340" i="9"/>
  <c r="J326" i="9"/>
  <c r="J314" i="9"/>
  <c r="J301" i="9"/>
  <c r="J288" i="9"/>
  <c r="J274" i="9"/>
  <c r="J280" i="9"/>
  <c r="J415" i="9"/>
  <c r="J407" i="9"/>
  <c r="J399" i="9"/>
  <c r="J391" i="9"/>
  <c r="J383" i="9"/>
  <c r="J375" i="9"/>
  <c r="J367" i="9"/>
  <c r="J359" i="9"/>
  <c r="J351" i="9"/>
  <c r="J343" i="9"/>
  <c r="J335" i="9"/>
  <c r="J327" i="9"/>
  <c r="J319" i="9"/>
  <c r="J311" i="9"/>
  <c r="J303" i="9"/>
  <c r="J295" i="9"/>
  <c r="J287" i="9"/>
  <c r="J279" i="9"/>
  <c r="J419" i="9"/>
  <c r="J411" i="9"/>
  <c r="J403" i="9"/>
  <c r="J395" i="9"/>
  <c r="J387" i="9"/>
  <c r="J379" i="9"/>
  <c r="J371" i="9"/>
  <c r="J363" i="9"/>
  <c r="J355" i="9"/>
  <c r="J347" i="9"/>
  <c r="J339" i="9"/>
  <c r="J331" i="9"/>
  <c r="J323" i="9"/>
  <c r="J315" i="9"/>
  <c r="J307" i="9"/>
  <c r="J299" i="9"/>
  <c r="J291" i="9"/>
  <c r="J283" i="9"/>
  <c r="J275" i="9"/>
  <c r="J417" i="9"/>
  <c r="J409" i="9"/>
  <c r="J401" i="9"/>
  <c r="J393" i="9"/>
  <c r="J385" i="9"/>
  <c r="J377" i="9"/>
  <c r="J369" i="9"/>
  <c r="J361" i="9"/>
  <c r="J353" i="9"/>
  <c r="J345" i="9"/>
  <c r="J337" i="9"/>
  <c r="J329" i="9"/>
  <c r="J321" i="9"/>
  <c r="J313" i="9"/>
  <c r="J305" i="9"/>
  <c r="J297" i="9"/>
  <c r="J289" i="9"/>
  <c r="J281" i="9"/>
  <c r="J273" i="9"/>
  <c r="J178" i="9"/>
  <c r="J138" i="9"/>
  <c r="J170" i="9"/>
  <c r="J162" i="9"/>
  <c r="J154" i="9"/>
  <c r="J146" i="9"/>
  <c r="J130" i="9"/>
  <c r="J122" i="9"/>
  <c r="J114" i="9"/>
  <c r="J106" i="9"/>
  <c r="J98" i="9"/>
  <c r="J169" i="9"/>
  <c r="J145" i="9"/>
  <c r="J180" i="9"/>
  <c r="J172" i="9"/>
  <c r="J164" i="9"/>
  <c r="J156" i="9"/>
  <c r="J148" i="9"/>
  <c r="J140" i="9"/>
  <c r="J132" i="9"/>
  <c r="J124" i="9"/>
  <c r="J116" i="9"/>
  <c r="J108" i="9"/>
  <c r="J100" i="9"/>
  <c r="J179" i="9"/>
  <c r="J171" i="9"/>
  <c r="J163" i="9"/>
  <c r="J155" i="9"/>
  <c r="J147" i="9"/>
  <c r="J139" i="9"/>
  <c r="J131" i="9"/>
  <c r="J123" i="9"/>
  <c r="J115" i="9"/>
  <c r="J107" i="9"/>
  <c r="J99" i="9"/>
  <c r="J177" i="9"/>
  <c r="J153" i="9"/>
  <c r="J129" i="9"/>
  <c r="J121" i="9"/>
  <c r="J105" i="9"/>
  <c r="J97" i="9"/>
  <c r="J176" i="9"/>
  <c r="J168" i="9"/>
  <c r="J160" i="9"/>
  <c r="J152" i="9"/>
  <c r="J144" i="9"/>
  <c r="J136" i="9"/>
  <c r="J128" i="9"/>
  <c r="J120" i="9"/>
  <c r="J112" i="9"/>
  <c r="J104" i="9"/>
  <c r="J96" i="9"/>
  <c r="J175" i="9"/>
  <c r="J167" i="9"/>
  <c r="J159" i="9"/>
  <c r="J151" i="9"/>
  <c r="J143" i="9"/>
  <c r="J135" i="9"/>
  <c r="J127" i="9"/>
  <c r="J119" i="9"/>
  <c r="J111" i="9"/>
  <c r="J103" i="9"/>
  <c r="J95" i="9"/>
  <c r="J161" i="9"/>
  <c r="J137" i="9"/>
  <c r="J113" i="9"/>
  <c r="J92" i="9"/>
  <c r="J174" i="9"/>
  <c r="J166" i="9"/>
  <c r="J158" i="9"/>
  <c r="J150" i="9"/>
  <c r="J142" i="9"/>
  <c r="J134" i="9"/>
  <c r="J126" i="9"/>
  <c r="J118" i="9"/>
  <c r="J110" i="9"/>
  <c r="J102" i="9"/>
  <c r="J94" i="9"/>
  <c r="J181" i="9"/>
  <c r="J173" i="9"/>
  <c r="J165" i="9"/>
  <c r="J157" i="9"/>
  <c r="J149" i="9"/>
  <c r="J141" i="9"/>
  <c r="J133" i="9"/>
  <c r="J125" i="9"/>
  <c r="J117" i="9"/>
  <c r="J109" i="9"/>
  <c r="J101" i="9"/>
  <c r="J551" i="9"/>
  <c r="J423" i="9"/>
  <c r="J543" i="9"/>
  <c r="J479" i="9"/>
  <c r="J535" i="9"/>
  <c r="J471" i="9"/>
  <c r="J527" i="9"/>
  <c r="J463" i="9"/>
  <c r="J572" i="9"/>
  <c r="J519" i="9"/>
  <c r="J455" i="9"/>
  <c r="J567" i="9"/>
  <c r="J511" i="9"/>
  <c r="J447" i="9"/>
  <c r="J564" i="9"/>
  <c r="J503" i="9"/>
  <c r="J439" i="9"/>
  <c r="J487" i="9"/>
  <c r="J559" i="9"/>
  <c r="J495" i="9"/>
  <c r="J431" i="9"/>
  <c r="J566" i="9"/>
  <c r="J558" i="9"/>
  <c r="J550" i="9"/>
  <c r="J542" i="9"/>
  <c r="J534" i="9"/>
  <c r="J526" i="9"/>
  <c r="J518" i="9"/>
  <c r="J510" i="9"/>
  <c r="J502" i="9"/>
  <c r="J494" i="9"/>
  <c r="J486" i="9"/>
  <c r="J478" i="9"/>
  <c r="J470" i="9"/>
  <c r="J462" i="9"/>
  <c r="J454" i="9"/>
  <c r="J446" i="9"/>
  <c r="J438" i="9"/>
  <c r="J430" i="9"/>
  <c r="J565" i="9"/>
  <c r="J557" i="9"/>
  <c r="J549" i="9"/>
  <c r="J541" i="9"/>
  <c r="J533" i="9"/>
  <c r="J525" i="9"/>
  <c r="J517" i="9"/>
  <c r="J509" i="9"/>
  <c r="J501" i="9"/>
  <c r="J493" i="9"/>
  <c r="J485" i="9"/>
  <c r="J477" i="9"/>
  <c r="J469" i="9"/>
  <c r="J461" i="9"/>
  <c r="J453" i="9"/>
  <c r="J445" i="9"/>
  <c r="J437" i="9"/>
  <c r="J429" i="9"/>
  <c r="J548" i="9"/>
  <c r="J532" i="9"/>
  <c r="J524" i="9"/>
  <c r="J516" i="9"/>
  <c r="J500" i="9"/>
  <c r="J492" i="9"/>
  <c r="J484" i="9"/>
  <c r="J476" i="9"/>
  <c r="J468" i="9"/>
  <c r="J460" i="9"/>
  <c r="J452" i="9"/>
  <c r="J444" i="9"/>
  <c r="J436" i="9"/>
  <c r="J428" i="9"/>
  <c r="J563" i="9"/>
  <c r="J547" i="9"/>
  <c r="J531" i="9"/>
  <c r="J515" i="9"/>
  <c r="J491" i="9"/>
  <c r="J467" i="9"/>
  <c r="J570" i="9"/>
  <c r="J554" i="9"/>
  <c r="J538" i="9"/>
  <c r="J522" i="9"/>
  <c r="J506" i="9"/>
  <c r="J490" i="9"/>
  <c r="J474" i="9"/>
  <c r="J458" i="9"/>
  <c r="J442" i="9"/>
  <c r="J426" i="9"/>
  <c r="J569" i="9"/>
  <c r="J561" i="9"/>
  <c r="J553" i="9"/>
  <c r="J545" i="9"/>
  <c r="J537" i="9"/>
  <c r="J529" i="9"/>
  <c r="J521" i="9"/>
  <c r="J513" i="9"/>
  <c r="J505" i="9"/>
  <c r="J497" i="9"/>
  <c r="J489" i="9"/>
  <c r="J481" i="9"/>
  <c r="J473" i="9"/>
  <c r="J465" i="9"/>
  <c r="J457" i="9"/>
  <c r="J449" i="9"/>
  <c r="J441" i="9"/>
  <c r="J433" i="9"/>
  <c r="J425" i="9"/>
  <c r="J556" i="9"/>
  <c r="J540" i="9"/>
  <c r="J508" i="9"/>
  <c r="J571" i="9"/>
  <c r="J555" i="9"/>
  <c r="J539" i="9"/>
  <c r="J523" i="9"/>
  <c r="J507" i="9"/>
  <c r="J499" i="9"/>
  <c r="J483" i="9"/>
  <c r="J475" i="9"/>
  <c r="J459" i="9"/>
  <c r="J451" i="9"/>
  <c r="J443" i="9"/>
  <c r="J435" i="9"/>
  <c r="J427" i="9"/>
  <c r="J562" i="9"/>
  <c r="J546" i="9"/>
  <c r="J530" i="9"/>
  <c r="J514" i="9"/>
  <c r="J498" i="9"/>
  <c r="J482" i="9"/>
  <c r="J466" i="9"/>
  <c r="J450" i="9"/>
  <c r="J434" i="9"/>
  <c r="J568" i="9"/>
  <c r="J560" i="9"/>
  <c r="J552" i="9"/>
  <c r="J544" i="9"/>
  <c r="J536" i="9"/>
  <c r="J528" i="9"/>
  <c r="J520" i="9"/>
  <c r="J512" i="9"/>
  <c r="J504" i="9"/>
  <c r="J496" i="9"/>
  <c r="J488" i="9"/>
  <c r="J480" i="9"/>
  <c r="J472" i="9"/>
  <c r="J464" i="9"/>
  <c r="J456" i="9"/>
  <c r="J448" i="9"/>
  <c r="J440" i="9"/>
  <c r="J432" i="9"/>
  <c r="J424" i="9"/>
  <c r="O59" i="10"/>
  <c r="O76" i="10"/>
  <c r="O90" i="10"/>
  <c r="O42" i="10"/>
  <c r="O22" i="10"/>
  <c r="O95" i="10"/>
  <c r="O24" i="10"/>
  <c r="O81" i="10"/>
  <c r="O23" i="10"/>
  <c r="O84" i="10"/>
  <c r="O79" i="10"/>
  <c r="O83" i="10"/>
  <c r="O92" i="10"/>
  <c r="O86" i="10"/>
  <c r="O77" i="10"/>
  <c r="O73" i="10"/>
  <c r="O56" i="10"/>
  <c r="O39" i="10"/>
  <c r="O71" i="10"/>
  <c r="O54" i="10"/>
  <c r="O37" i="10"/>
  <c r="O17" i="10"/>
  <c r="O67" i="10"/>
  <c r="O50" i="10"/>
  <c r="O33" i="10"/>
  <c r="P5" i="10"/>
  <c r="P15" i="10"/>
  <c r="P94" i="10"/>
  <c r="P29" i="10"/>
  <c r="P39" i="10"/>
  <c r="P63" i="10"/>
  <c r="P56" i="10"/>
  <c r="P20" i="10"/>
  <c r="P8" i="10"/>
  <c r="P33" i="10"/>
  <c r="P71" i="10"/>
  <c r="P91" i="10"/>
  <c r="P28" i="10"/>
  <c r="P67" i="10"/>
  <c r="P72" i="10"/>
  <c r="P25" i="10"/>
  <c r="P31" i="10"/>
  <c r="P69" i="10"/>
  <c r="P81" i="10"/>
  <c r="P58" i="10"/>
  <c r="P10" i="10"/>
  <c r="P52" i="10"/>
  <c r="P83" i="10"/>
  <c r="P40" i="10"/>
  <c r="P65" i="10"/>
  <c r="P17" i="10"/>
  <c r="P84" i="10"/>
  <c r="P22" i="10"/>
  <c r="P61" i="10"/>
  <c r="P12" i="10"/>
  <c r="P54" i="10"/>
  <c r="P82" i="10"/>
  <c r="P60" i="10"/>
  <c r="P42" i="10"/>
  <c r="P45" i="10"/>
  <c r="P30" i="10"/>
  <c r="P32" i="10"/>
  <c r="P14" i="10"/>
  <c r="P16" i="10"/>
  <c r="P6" i="10"/>
  <c r="P73" i="10"/>
  <c r="P90" i="10"/>
  <c r="P26" i="10"/>
  <c r="P57" i="10"/>
  <c r="P59" i="10"/>
  <c r="P7" i="10"/>
  <c r="P62" i="10"/>
  <c r="P47" i="10"/>
  <c r="P49" i="10"/>
  <c r="P34" i="10"/>
  <c r="P36" i="10"/>
  <c r="P18" i="10"/>
  <c r="P77" i="10"/>
  <c r="P23" i="10"/>
  <c r="P78" i="10"/>
  <c r="P74" i="10"/>
  <c r="P76" i="10"/>
  <c r="P27" i="10"/>
  <c r="P4" i="10"/>
  <c r="P64" i="10"/>
  <c r="P66" i="10"/>
  <c r="P51" i="10"/>
  <c r="P53" i="10"/>
  <c r="P38" i="10"/>
  <c r="P86" i="10"/>
  <c r="P24" i="10"/>
  <c r="P87" i="10"/>
  <c r="P21" i="10"/>
  <c r="P88" i="10"/>
  <c r="P44" i="10"/>
  <c r="P9" i="10"/>
  <c r="P11" i="10"/>
  <c r="P13" i="10"/>
  <c r="P68" i="10"/>
  <c r="P70" i="10"/>
  <c r="P55" i="10"/>
  <c r="P92" i="10"/>
  <c r="P80" i="10"/>
  <c r="P93" i="10"/>
  <c r="P41" i="10"/>
  <c r="P89" i="10"/>
  <c r="P3" i="10"/>
  <c r="P46" i="10"/>
  <c r="P48" i="10"/>
  <c r="P50" i="10"/>
  <c r="P35" i="10"/>
  <c r="P37" i="10"/>
  <c r="P19" i="10"/>
  <c r="P79" i="10"/>
  <c r="P85" i="10"/>
  <c r="P95" i="10"/>
  <c r="P75" i="10"/>
  <c r="P43" i="10"/>
  <c r="N57" i="10"/>
  <c r="N59" i="10"/>
  <c r="N22" i="10"/>
  <c r="N75" i="10"/>
  <c r="N42" i="10"/>
  <c r="N40" i="10"/>
  <c r="N43" i="10"/>
  <c r="N58" i="10"/>
  <c r="N60" i="10"/>
  <c r="N41" i="10"/>
  <c r="N89" i="10"/>
  <c r="N21" i="10"/>
  <c r="N76" i="10"/>
  <c r="N74" i="10"/>
  <c r="N18" i="10"/>
  <c r="N3" i="10"/>
  <c r="N34" i="10"/>
  <c r="N7" i="10"/>
  <c r="N55" i="10"/>
  <c r="N5" i="10"/>
  <c r="N28" i="10"/>
  <c r="N62" i="10"/>
  <c r="N38" i="10"/>
  <c r="N63" i="10"/>
  <c r="N8" i="10"/>
  <c r="N46" i="10"/>
  <c r="N6" i="10"/>
  <c r="N29" i="10"/>
  <c r="N61" i="10"/>
  <c r="N68" i="10"/>
  <c r="N9" i="10"/>
  <c r="N44" i="10"/>
  <c r="N51" i="10"/>
  <c r="N4" i="10"/>
  <c r="N27" i="10"/>
  <c r="N14" i="10"/>
  <c r="N45" i="10"/>
  <c r="N93" i="10"/>
  <c r="N80" i="10"/>
  <c r="N92" i="10"/>
  <c r="N54" i="10"/>
  <c r="N52" i="10"/>
  <c r="N49" i="10"/>
  <c r="N47" i="10"/>
  <c r="N87" i="10"/>
  <c r="N24" i="10"/>
  <c r="N86" i="10"/>
  <c r="N37" i="10"/>
  <c r="N35" i="10"/>
  <c r="N32" i="10"/>
  <c r="N30" i="10"/>
  <c r="N78" i="10"/>
  <c r="N23" i="10"/>
  <c r="N77" i="10"/>
  <c r="N17" i="10"/>
  <c r="N15" i="10"/>
  <c r="N12" i="10"/>
  <c r="N26" i="10"/>
  <c r="N90" i="10"/>
  <c r="N73" i="10"/>
  <c r="N70" i="10"/>
  <c r="N67" i="10"/>
  <c r="N65" i="10"/>
  <c r="N25" i="10"/>
  <c r="N84" i="10"/>
  <c r="N56" i="10"/>
  <c r="N53" i="10"/>
  <c r="N50" i="10"/>
  <c r="N48" i="10"/>
  <c r="N91" i="10"/>
  <c r="N81" i="10"/>
  <c r="N39" i="10"/>
  <c r="N36" i="10"/>
  <c r="N33" i="10"/>
  <c r="N31" i="10"/>
  <c r="N95" i="10"/>
  <c r="N85" i="10"/>
  <c r="N79" i="10"/>
  <c r="N19" i="10"/>
  <c r="N16" i="10"/>
  <c r="N13" i="10"/>
  <c r="N11" i="10"/>
  <c r="N94" i="10"/>
  <c r="N82" i="10"/>
  <c r="N83" i="10"/>
  <c r="N71" i="10"/>
  <c r="N69" i="10"/>
  <c r="N66" i="10"/>
  <c r="N10" i="10"/>
  <c r="N72" i="10"/>
  <c r="L72" i="2" l="1" a="1"/>
  <c r="L72" i="2" s="1"/>
  <c r="L73" i="2" a="1"/>
  <c r="L73" i="2" s="1"/>
  <c r="L62" i="2" a="1"/>
  <c r="L62" i="2" s="1"/>
  <c r="L68" i="2" a="1"/>
  <c r="L68" i="2" s="1"/>
  <c r="L38" i="2" a="1"/>
  <c r="L38" i="2" s="1"/>
  <c r="L48" i="2" a="1"/>
  <c r="L48" i="2" s="1"/>
  <c r="L60" i="2" a="1"/>
  <c r="L60" i="2" s="1"/>
  <c r="L61" i="2" a="1"/>
  <c r="L61" i="2" s="1"/>
  <c r="L71" i="2" a="1"/>
  <c r="L71" i="2" s="1"/>
  <c r="L55" i="2" a="1"/>
  <c r="L55" i="2" s="1"/>
  <c r="L49" i="2" a="1"/>
  <c r="L49" i="2" s="1"/>
  <c r="L57" i="2" a="1"/>
  <c r="L57" i="2" s="1"/>
  <c r="L63" i="2" a="1"/>
  <c r="L63" i="2" s="1"/>
  <c r="L69" i="2" a="1"/>
  <c r="L69" i="2" s="1"/>
  <c r="L34" i="2" a="1"/>
  <c r="L34" i="2" s="1"/>
  <c r="L41" i="2" a="1"/>
  <c r="L41" i="2" s="1"/>
  <c r="L50" i="2" a="1"/>
  <c r="L50" i="2" s="1"/>
  <c r="L53" i="2" a="1"/>
  <c r="L53" i="2" s="1"/>
  <c r="L64" i="2" a="1"/>
  <c r="L64" i="2" s="1"/>
  <c r="L43" i="2" a="1"/>
  <c r="L43" i="2" s="1"/>
  <c r="L42" i="2" a="1"/>
  <c r="L42" i="2" s="1"/>
  <c r="L31" i="2" a="1"/>
  <c r="L31" i="2" s="1"/>
  <c r="L70" i="2" a="1"/>
  <c r="L70" i="2" s="1"/>
  <c r="L40" i="2" a="1"/>
  <c r="L40" i="2" s="1"/>
  <c r="L47" i="2" a="1"/>
  <c r="L47" i="2" s="1"/>
  <c r="L52" i="2" a="1"/>
  <c r="L52" i="2" s="1"/>
  <c r="L35" i="2" a="1"/>
  <c r="L35" i="2" s="1"/>
  <c r="L37" i="2" a="1"/>
  <c r="L37" i="2" s="1"/>
  <c r="L56" i="2" a="1"/>
  <c r="L56" i="2" s="1"/>
  <c r="L54" i="2" a="1"/>
  <c r="L54" i="2" s="1"/>
  <c r="L59" i="2" a="1"/>
  <c r="L59" i="2" s="1"/>
  <c r="L65" i="2" a="1"/>
  <c r="L65" i="2" s="1"/>
  <c r="L45" i="2" a="1"/>
  <c r="L45" i="2" s="1"/>
  <c r="L39" i="2" a="1"/>
  <c r="L39" i="2" s="1"/>
  <c r="L46" i="2" a="1"/>
  <c r="L46" i="2" s="1"/>
  <c r="L36" i="2" a="1"/>
  <c r="L36" i="2" s="1"/>
  <c r="L33" i="2" a="1"/>
  <c r="L33" i="2" s="1"/>
  <c r="L66" i="2" a="1"/>
  <c r="L66" i="2" s="1"/>
  <c r="L32" i="2" a="1"/>
  <c r="L32" i="2" s="1"/>
  <c r="L44" i="2" a="1"/>
  <c r="L44" i="2" s="1"/>
  <c r="L51" i="2" a="1"/>
  <c r="L51" i="2" s="1"/>
  <c r="L58" i="2" a="1"/>
  <c r="L58" i="2" s="1"/>
  <c r="L67" i="2" a="1"/>
  <c r="L67" i="2" s="1"/>
  <c r="L30" i="2" a="1"/>
  <c r="L30" i="2" s="1"/>
  <c r="M15" i="2"/>
  <c r="A2" i="2"/>
  <c r="D9" i="9" l="1"/>
  <c r="D17" i="9"/>
  <c r="D25" i="9"/>
  <c r="D33" i="9"/>
  <c r="D41" i="9"/>
  <c r="D49" i="9"/>
  <c r="D57" i="9"/>
  <c r="D65" i="9"/>
  <c r="D73" i="9"/>
  <c r="D81" i="9"/>
  <c r="D89" i="9"/>
  <c r="D97" i="9"/>
  <c r="D105" i="9"/>
  <c r="D113" i="9"/>
  <c r="D121" i="9"/>
  <c r="D129" i="9"/>
  <c r="D137" i="9"/>
  <c r="D145" i="9"/>
  <c r="D153" i="9"/>
  <c r="D161" i="9"/>
  <c r="D169" i="9"/>
  <c r="D177" i="9"/>
  <c r="D185" i="9"/>
  <c r="D193" i="9"/>
  <c r="D201" i="9"/>
  <c r="D209" i="9"/>
  <c r="D217" i="9"/>
  <c r="D225" i="9"/>
  <c r="D233" i="9"/>
  <c r="D241" i="9"/>
  <c r="D249" i="9"/>
  <c r="D257" i="9"/>
  <c r="D265" i="9"/>
  <c r="D273" i="9"/>
  <c r="D281" i="9"/>
  <c r="D289" i="9"/>
  <c r="D297" i="9"/>
  <c r="D305" i="9"/>
  <c r="D313" i="9"/>
  <c r="D321" i="9"/>
  <c r="D329" i="9"/>
  <c r="D337" i="9"/>
  <c r="D345" i="9"/>
  <c r="D353" i="9"/>
  <c r="D361" i="9"/>
  <c r="D369" i="9"/>
  <c r="D377" i="9"/>
  <c r="D385" i="9"/>
  <c r="D393" i="9"/>
  <c r="D401" i="9"/>
  <c r="D409" i="9"/>
  <c r="D417" i="9"/>
  <c r="D425" i="9"/>
  <c r="D433" i="9"/>
  <c r="D441" i="9"/>
  <c r="D449" i="9"/>
  <c r="D457" i="9"/>
  <c r="D465" i="9"/>
  <c r="D473" i="9"/>
  <c r="D481" i="9"/>
  <c r="D489" i="9"/>
  <c r="D497" i="9"/>
  <c r="D505" i="9"/>
  <c r="D513" i="9"/>
  <c r="D521" i="9"/>
  <c r="D529" i="9"/>
  <c r="D537" i="9"/>
  <c r="D545" i="9"/>
  <c r="D553" i="9"/>
  <c r="D561" i="9"/>
  <c r="D569" i="9"/>
  <c r="D577" i="9"/>
  <c r="D585" i="9"/>
  <c r="D593" i="9"/>
  <c r="D601" i="9"/>
  <c r="D609" i="9"/>
  <c r="D617" i="9"/>
  <c r="D625" i="9"/>
  <c r="D633" i="9"/>
  <c r="D641" i="9"/>
  <c r="D649" i="9"/>
  <c r="D657" i="9"/>
  <c r="D665" i="9"/>
  <c r="D673" i="9"/>
  <c r="D681" i="9"/>
  <c r="D2" i="9"/>
  <c r="D10" i="9"/>
  <c r="D18" i="9"/>
  <c r="D26" i="9"/>
  <c r="D34" i="9"/>
  <c r="D42" i="9"/>
  <c r="D50" i="9"/>
  <c r="D58" i="9"/>
  <c r="D66" i="9"/>
  <c r="D74" i="9"/>
  <c r="D82" i="9"/>
  <c r="D90" i="9"/>
  <c r="D98" i="9"/>
  <c r="D106" i="9"/>
  <c r="D114" i="9"/>
  <c r="D122" i="9"/>
  <c r="D130" i="9"/>
  <c r="D138" i="9"/>
  <c r="D146" i="9"/>
  <c r="D154" i="9"/>
  <c r="D162" i="9"/>
  <c r="D170" i="9"/>
  <c r="D178" i="9"/>
  <c r="D186" i="9"/>
  <c r="D194" i="9"/>
  <c r="D202" i="9"/>
  <c r="D210" i="9"/>
  <c r="D218" i="9"/>
  <c r="D226" i="9"/>
  <c r="D234" i="9"/>
  <c r="D242" i="9"/>
  <c r="D250" i="9"/>
  <c r="D258" i="9"/>
  <c r="D266" i="9"/>
  <c r="D274" i="9"/>
  <c r="D282" i="9"/>
  <c r="D290" i="9"/>
  <c r="D298" i="9"/>
  <c r="D306" i="9"/>
  <c r="D314" i="9"/>
  <c r="D322" i="9"/>
  <c r="D330" i="9"/>
  <c r="D338" i="9"/>
  <c r="D346" i="9"/>
  <c r="D354" i="9"/>
  <c r="D362" i="9"/>
  <c r="D370" i="9"/>
  <c r="D378" i="9"/>
  <c r="D386" i="9"/>
  <c r="D394" i="9"/>
  <c r="D402" i="9"/>
  <c r="D410" i="9"/>
  <c r="D418" i="9"/>
  <c r="D426" i="9"/>
  <c r="D434" i="9"/>
  <c r="D442" i="9"/>
  <c r="D450" i="9"/>
  <c r="D458" i="9"/>
  <c r="D466" i="9"/>
  <c r="D474" i="9"/>
  <c r="D482" i="9"/>
  <c r="D490" i="9"/>
  <c r="D498" i="9"/>
  <c r="D506" i="9"/>
  <c r="D514" i="9"/>
  <c r="D522" i="9"/>
  <c r="D530" i="9"/>
  <c r="D538" i="9"/>
  <c r="D546" i="9"/>
  <c r="D554" i="9"/>
  <c r="D562" i="9"/>
  <c r="D570" i="9"/>
  <c r="D578" i="9"/>
  <c r="D586" i="9"/>
  <c r="D594" i="9"/>
  <c r="D602" i="9"/>
  <c r="D610" i="9"/>
  <c r="D618" i="9"/>
  <c r="D626" i="9"/>
  <c r="D634" i="9"/>
  <c r="D642" i="9"/>
  <c r="D650" i="9"/>
  <c r="D658" i="9"/>
  <c r="D666" i="9"/>
  <c r="D674" i="9"/>
  <c r="D3" i="9"/>
  <c r="D11" i="9"/>
  <c r="D19" i="9"/>
  <c r="D27" i="9"/>
  <c r="D35" i="9"/>
  <c r="D43" i="9"/>
  <c r="D51" i="9"/>
  <c r="D59" i="9"/>
  <c r="D67" i="9"/>
  <c r="D75" i="9"/>
  <c r="D83" i="9"/>
  <c r="D91" i="9"/>
  <c r="D99" i="9"/>
  <c r="D107" i="9"/>
  <c r="D115" i="9"/>
  <c r="D123" i="9"/>
  <c r="D131" i="9"/>
  <c r="D5" i="9"/>
  <c r="D13" i="9"/>
  <c r="D21" i="9"/>
  <c r="D29" i="9"/>
  <c r="D37" i="9"/>
  <c r="D45" i="9"/>
  <c r="D53" i="9"/>
  <c r="D61" i="9"/>
  <c r="D69" i="9"/>
  <c r="D77" i="9"/>
  <c r="D85" i="9"/>
  <c r="D93" i="9"/>
  <c r="D101" i="9"/>
  <c r="D109" i="9"/>
  <c r="D117" i="9"/>
  <c r="D125" i="9"/>
  <c r="D133" i="9"/>
  <c r="D141" i="9"/>
  <c r="D149" i="9"/>
  <c r="D157" i="9"/>
  <c r="D165" i="9"/>
  <c r="D173" i="9"/>
  <c r="D181" i="9"/>
  <c r="D189" i="9"/>
  <c r="D197" i="9"/>
  <c r="D205" i="9"/>
  <c r="D213" i="9"/>
  <c r="D221" i="9"/>
  <c r="D229" i="9"/>
  <c r="D237" i="9"/>
  <c r="D245" i="9"/>
  <c r="D253" i="9"/>
  <c r="D261" i="9"/>
  <c r="D269" i="9"/>
  <c r="D277" i="9"/>
  <c r="D285" i="9"/>
  <c r="D293" i="9"/>
  <c r="D301" i="9"/>
  <c r="D309" i="9"/>
  <c r="D317" i="9"/>
  <c r="D325" i="9"/>
  <c r="D333" i="9"/>
  <c r="D341" i="9"/>
  <c r="D349" i="9"/>
  <c r="D357" i="9"/>
  <c r="D365" i="9"/>
  <c r="D373" i="9"/>
  <c r="D381" i="9"/>
  <c r="D389" i="9"/>
  <c r="D397" i="9"/>
  <c r="D405" i="9"/>
  <c r="D413" i="9"/>
  <c r="D421" i="9"/>
  <c r="D429" i="9"/>
  <c r="D437" i="9"/>
  <c r="D445" i="9"/>
  <c r="D453" i="9"/>
  <c r="D461" i="9"/>
  <c r="D469" i="9"/>
  <c r="D477" i="9"/>
  <c r="D485" i="9"/>
  <c r="D493" i="9"/>
  <c r="D501" i="9"/>
  <c r="D509" i="9"/>
  <c r="D517" i="9"/>
  <c r="D525" i="9"/>
  <c r="D533" i="9"/>
  <c r="D541" i="9"/>
  <c r="D549" i="9"/>
  <c r="D557" i="9"/>
  <c r="D565" i="9"/>
  <c r="D573" i="9"/>
  <c r="D581" i="9"/>
  <c r="D589" i="9"/>
  <c r="D597" i="9"/>
  <c r="D605" i="9"/>
  <c r="D613" i="9"/>
  <c r="D621" i="9"/>
  <c r="D629" i="9"/>
  <c r="D637" i="9"/>
  <c r="D645" i="9"/>
  <c r="D653" i="9"/>
  <c r="D661" i="9"/>
  <c r="D669" i="9"/>
  <c r="D677" i="9"/>
  <c r="D16" i="9"/>
  <c r="D32" i="9"/>
  <c r="D48" i="9"/>
  <c r="D64" i="9"/>
  <c r="D80" i="9"/>
  <c r="D96" i="9"/>
  <c r="D112" i="9"/>
  <c r="D128" i="9"/>
  <c r="D143" i="9"/>
  <c r="D156" i="9"/>
  <c r="D168" i="9"/>
  <c r="D182" i="9"/>
  <c r="D195" i="9"/>
  <c r="D207" i="9"/>
  <c r="D220" i="9"/>
  <c r="D232" i="9"/>
  <c r="D246" i="9"/>
  <c r="D259" i="9"/>
  <c r="D271" i="9"/>
  <c r="D284" i="9"/>
  <c r="D296" i="9"/>
  <c r="D310" i="9"/>
  <c r="D323" i="9"/>
  <c r="D335" i="9"/>
  <c r="D348" i="9"/>
  <c r="D360" i="9"/>
  <c r="D374" i="9"/>
  <c r="D387" i="9"/>
  <c r="D399" i="9"/>
  <c r="D412" i="9"/>
  <c r="D424" i="9"/>
  <c r="D438" i="9"/>
  <c r="D451" i="9"/>
  <c r="D463" i="9"/>
  <c r="D476" i="9"/>
  <c r="D488" i="9"/>
  <c r="D502" i="9"/>
  <c r="D515" i="9"/>
  <c r="D527" i="9"/>
  <c r="D540" i="9"/>
  <c r="D552" i="9"/>
  <c r="D566" i="9"/>
  <c r="D579" i="9"/>
  <c r="D591" i="9"/>
  <c r="D604" i="9"/>
  <c r="D616" i="9"/>
  <c r="D630" i="9"/>
  <c r="D643" i="9"/>
  <c r="D655" i="9"/>
  <c r="D668" i="9"/>
  <c r="D680" i="9"/>
  <c r="D689" i="9"/>
  <c r="D697" i="9"/>
  <c r="D705" i="9"/>
  <c r="D713" i="9"/>
  <c r="D39" i="9"/>
  <c r="D103" i="9"/>
  <c r="D135" i="9"/>
  <c r="D160" i="9"/>
  <c r="D199" i="9"/>
  <c r="D238" i="9"/>
  <c r="D276" i="9"/>
  <c r="D315" i="9"/>
  <c r="D352" i="9"/>
  <c r="D391" i="9"/>
  <c r="D430" i="9"/>
  <c r="D468" i="9"/>
  <c r="D507" i="9"/>
  <c r="D544" i="9"/>
  <c r="D583" i="9"/>
  <c r="D622" i="9"/>
  <c r="D660" i="9"/>
  <c r="D684" i="9"/>
  <c r="D708" i="9"/>
  <c r="D62" i="9"/>
  <c r="D166" i="9"/>
  <c r="D216" i="9"/>
  <c r="D268" i="9"/>
  <c r="D332" i="9"/>
  <c r="D383" i="9"/>
  <c r="D435" i="9"/>
  <c r="D486" i="9"/>
  <c r="D4" i="9"/>
  <c r="D20" i="9"/>
  <c r="D36" i="9"/>
  <c r="D52" i="9"/>
  <c r="D68" i="9"/>
  <c r="D84" i="9"/>
  <c r="D100" i="9"/>
  <c r="D116" i="9"/>
  <c r="D132" i="9"/>
  <c r="D144" i="9"/>
  <c r="D158" i="9"/>
  <c r="D171" i="9"/>
  <c r="D183" i="9"/>
  <c r="D196" i="9"/>
  <c r="D208" i="9"/>
  <c r="D222" i="9"/>
  <c r="D235" i="9"/>
  <c r="D247" i="9"/>
  <c r="D260" i="9"/>
  <c r="D272" i="9"/>
  <c r="D286" i="9"/>
  <c r="D299" i="9"/>
  <c r="D311" i="9"/>
  <c r="D324" i="9"/>
  <c r="D336" i="9"/>
  <c r="D350" i="9"/>
  <c r="D363" i="9"/>
  <c r="D375" i="9"/>
  <c r="D388" i="9"/>
  <c r="D400" i="9"/>
  <c r="D414" i="9"/>
  <c r="D427" i="9"/>
  <c r="D439" i="9"/>
  <c r="D452" i="9"/>
  <c r="D464" i="9"/>
  <c r="D478" i="9"/>
  <c r="D491" i="9"/>
  <c r="D503" i="9"/>
  <c r="D516" i="9"/>
  <c r="D528" i="9"/>
  <c r="D542" i="9"/>
  <c r="D555" i="9"/>
  <c r="D567" i="9"/>
  <c r="D580" i="9"/>
  <c r="D592" i="9"/>
  <c r="D606" i="9"/>
  <c r="D619" i="9"/>
  <c r="D631" i="9"/>
  <c r="D644" i="9"/>
  <c r="D656" i="9"/>
  <c r="D670" i="9"/>
  <c r="D682" i="9"/>
  <c r="D690" i="9"/>
  <c r="D698" i="9"/>
  <c r="D706" i="9"/>
  <c r="D714" i="9"/>
  <c r="D7" i="9"/>
  <c r="D55" i="9"/>
  <c r="D71" i="9"/>
  <c r="D87" i="9"/>
  <c r="D119" i="9"/>
  <c r="D148" i="9"/>
  <c r="D174" i="9"/>
  <c r="D212" i="9"/>
  <c r="D251" i="9"/>
  <c r="D288" i="9"/>
  <c r="D327" i="9"/>
  <c r="D366" i="9"/>
  <c r="D404" i="9"/>
  <c r="D443" i="9"/>
  <c r="D480" i="9"/>
  <c r="D519" i="9"/>
  <c r="D558" i="9"/>
  <c r="D596" i="9"/>
  <c r="D635" i="9"/>
  <c r="D672" i="9"/>
  <c r="D700" i="9"/>
  <c r="D46" i="9"/>
  <c r="D140" i="9"/>
  <c r="D191" i="9"/>
  <c r="D243" i="9"/>
  <c r="D294" i="9"/>
  <c r="D344" i="9"/>
  <c r="D396" i="9"/>
  <c r="D447" i="9"/>
  <c r="D6" i="9"/>
  <c r="D22" i="9"/>
  <c r="D38" i="9"/>
  <c r="D54" i="9"/>
  <c r="D70" i="9"/>
  <c r="D86" i="9"/>
  <c r="D102" i="9"/>
  <c r="D118" i="9"/>
  <c r="D134" i="9"/>
  <c r="D147" i="9"/>
  <c r="D159" i="9"/>
  <c r="D172" i="9"/>
  <c r="D184" i="9"/>
  <c r="D198" i="9"/>
  <c r="D211" i="9"/>
  <c r="D223" i="9"/>
  <c r="D236" i="9"/>
  <c r="D248" i="9"/>
  <c r="D262" i="9"/>
  <c r="D275" i="9"/>
  <c r="D287" i="9"/>
  <c r="D300" i="9"/>
  <c r="D312" i="9"/>
  <c r="D326" i="9"/>
  <c r="D339" i="9"/>
  <c r="D351" i="9"/>
  <c r="D364" i="9"/>
  <c r="D376" i="9"/>
  <c r="D390" i="9"/>
  <c r="D403" i="9"/>
  <c r="D415" i="9"/>
  <c r="D428" i="9"/>
  <c r="D440" i="9"/>
  <c r="D454" i="9"/>
  <c r="D467" i="9"/>
  <c r="D479" i="9"/>
  <c r="D492" i="9"/>
  <c r="D504" i="9"/>
  <c r="D518" i="9"/>
  <c r="D531" i="9"/>
  <c r="D543" i="9"/>
  <c r="D556" i="9"/>
  <c r="D568" i="9"/>
  <c r="D582" i="9"/>
  <c r="D595" i="9"/>
  <c r="D607" i="9"/>
  <c r="D620" i="9"/>
  <c r="D632" i="9"/>
  <c r="D646" i="9"/>
  <c r="D659" i="9"/>
  <c r="D671" i="9"/>
  <c r="D683" i="9"/>
  <c r="D691" i="9"/>
  <c r="D699" i="9"/>
  <c r="D707" i="9"/>
  <c r="D715" i="9"/>
  <c r="D23" i="9"/>
  <c r="D187" i="9"/>
  <c r="D224" i="9"/>
  <c r="D263" i="9"/>
  <c r="D302" i="9"/>
  <c r="D340" i="9"/>
  <c r="D379" i="9"/>
  <c r="D416" i="9"/>
  <c r="D455" i="9"/>
  <c r="D494" i="9"/>
  <c r="D532" i="9"/>
  <c r="D571" i="9"/>
  <c r="D608" i="9"/>
  <c r="D647" i="9"/>
  <c r="D692" i="9"/>
  <c r="D716" i="9"/>
  <c r="D14" i="9"/>
  <c r="D78" i="9"/>
  <c r="D94" i="9"/>
  <c r="D110" i="9"/>
  <c r="D126" i="9"/>
  <c r="D179" i="9"/>
  <c r="D230" i="9"/>
  <c r="D280" i="9"/>
  <c r="D319" i="9"/>
  <c r="D371" i="9"/>
  <c r="D422" i="9"/>
  <c r="D460" i="9"/>
  <c r="D8" i="9"/>
  <c r="D24" i="9"/>
  <c r="D40" i="9"/>
  <c r="D56" i="9"/>
  <c r="D72" i="9"/>
  <c r="D88" i="9"/>
  <c r="D104" i="9"/>
  <c r="D120" i="9"/>
  <c r="D136" i="9"/>
  <c r="D150" i="9"/>
  <c r="D163" i="9"/>
  <c r="D175" i="9"/>
  <c r="D188" i="9"/>
  <c r="D200" i="9"/>
  <c r="D214" i="9"/>
  <c r="D227" i="9"/>
  <c r="D239" i="9"/>
  <c r="D252" i="9"/>
  <c r="D264" i="9"/>
  <c r="D278" i="9"/>
  <c r="D291" i="9"/>
  <c r="D303" i="9"/>
  <c r="D316" i="9"/>
  <c r="D328" i="9"/>
  <c r="D342" i="9"/>
  <c r="D355" i="9"/>
  <c r="D367" i="9"/>
  <c r="D380" i="9"/>
  <c r="D392" i="9"/>
  <c r="D406" i="9"/>
  <c r="D419" i="9"/>
  <c r="D431" i="9"/>
  <c r="D444" i="9"/>
  <c r="D456" i="9"/>
  <c r="D470" i="9"/>
  <c r="D483" i="9"/>
  <c r="D495" i="9"/>
  <c r="D508" i="9"/>
  <c r="D520" i="9"/>
  <c r="D534" i="9"/>
  <c r="D547" i="9"/>
  <c r="D559" i="9"/>
  <c r="D572" i="9"/>
  <c r="D584" i="9"/>
  <c r="D598" i="9"/>
  <c r="D611" i="9"/>
  <c r="D623" i="9"/>
  <c r="D636" i="9"/>
  <c r="D648" i="9"/>
  <c r="D662" i="9"/>
  <c r="D675" i="9"/>
  <c r="D685" i="9"/>
  <c r="D693" i="9"/>
  <c r="D701" i="9"/>
  <c r="D709" i="9"/>
  <c r="D717" i="9"/>
  <c r="D12" i="9"/>
  <c r="D28" i="9"/>
  <c r="D44" i="9"/>
  <c r="D60" i="9"/>
  <c r="D76" i="9"/>
  <c r="D92" i="9"/>
  <c r="D108" i="9"/>
  <c r="D124" i="9"/>
  <c r="D139" i="9"/>
  <c r="D151" i="9"/>
  <c r="D164" i="9"/>
  <c r="D176" i="9"/>
  <c r="D190" i="9"/>
  <c r="D203" i="9"/>
  <c r="D215" i="9"/>
  <c r="D228" i="9"/>
  <c r="D240" i="9"/>
  <c r="D254" i="9"/>
  <c r="D267" i="9"/>
  <c r="D279" i="9"/>
  <c r="D292" i="9"/>
  <c r="D304" i="9"/>
  <c r="D318" i="9"/>
  <c r="D331" i="9"/>
  <c r="D343" i="9"/>
  <c r="D356" i="9"/>
  <c r="D368" i="9"/>
  <c r="D382" i="9"/>
  <c r="D395" i="9"/>
  <c r="D407" i="9"/>
  <c r="D420" i="9"/>
  <c r="D432" i="9"/>
  <c r="D446" i="9"/>
  <c r="D459" i="9"/>
  <c r="D471" i="9"/>
  <c r="D484" i="9"/>
  <c r="D496" i="9"/>
  <c r="D510" i="9"/>
  <c r="D523" i="9"/>
  <c r="D535" i="9"/>
  <c r="D548" i="9"/>
  <c r="D560" i="9"/>
  <c r="D574" i="9"/>
  <c r="D587" i="9"/>
  <c r="D599" i="9"/>
  <c r="D612" i="9"/>
  <c r="D624" i="9"/>
  <c r="D638" i="9"/>
  <c r="D651" i="9"/>
  <c r="D663" i="9"/>
  <c r="D676" i="9"/>
  <c r="D686" i="9"/>
  <c r="D694" i="9"/>
  <c r="D702" i="9"/>
  <c r="D710" i="9"/>
  <c r="D718" i="9"/>
  <c r="D30" i="9"/>
  <c r="D152" i="9"/>
  <c r="D204" i="9"/>
  <c r="D255" i="9"/>
  <c r="D307" i="9"/>
  <c r="D358" i="9"/>
  <c r="D408" i="9"/>
  <c r="D472" i="9"/>
  <c r="D127" i="9"/>
  <c r="D231" i="9"/>
  <c r="D334" i="9"/>
  <c r="D436" i="9"/>
  <c r="D512" i="9"/>
  <c r="D564" i="9"/>
  <c r="D615" i="9"/>
  <c r="D667" i="9"/>
  <c r="D704" i="9"/>
  <c r="D711" i="9"/>
  <c r="D47" i="9"/>
  <c r="D270" i="9"/>
  <c r="D372" i="9"/>
  <c r="D475" i="9"/>
  <c r="D536" i="9"/>
  <c r="D588" i="9"/>
  <c r="D639" i="9"/>
  <c r="D687" i="9"/>
  <c r="D719" i="9"/>
  <c r="D696" i="9"/>
  <c r="D423" i="9"/>
  <c r="D15" i="9"/>
  <c r="D142" i="9"/>
  <c r="D244" i="9"/>
  <c r="D347" i="9"/>
  <c r="D448" i="9"/>
  <c r="D524" i="9"/>
  <c r="D575" i="9"/>
  <c r="D627" i="9"/>
  <c r="D678" i="9"/>
  <c r="D219" i="9"/>
  <c r="D31" i="9"/>
  <c r="D155" i="9"/>
  <c r="D256" i="9"/>
  <c r="D359" i="9"/>
  <c r="D462" i="9"/>
  <c r="D526" i="9"/>
  <c r="D576" i="9"/>
  <c r="D628" i="9"/>
  <c r="D679" i="9"/>
  <c r="D712" i="9"/>
  <c r="D167" i="9"/>
  <c r="D320" i="9"/>
  <c r="D63" i="9"/>
  <c r="D180" i="9"/>
  <c r="D283" i="9"/>
  <c r="D384" i="9"/>
  <c r="D487" i="9"/>
  <c r="D539" i="9"/>
  <c r="D590" i="9"/>
  <c r="D640" i="9"/>
  <c r="D688" i="9"/>
  <c r="D79" i="9"/>
  <c r="D192" i="9"/>
  <c r="D295" i="9"/>
  <c r="D398" i="9"/>
  <c r="D499" i="9"/>
  <c r="D550" i="9"/>
  <c r="D600" i="9"/>
  <c r="D652" i="9"/>
  <c r="D695" i="9"/>
  <c r="D95" i="9"/>
  <c r="D206" i="9"/>
  <c r="D308" i="9"/>
  <c r="D411" i="9"/>
  <c r="D500" i="9"/>
  <c r="D551" i="9"/>
  <c r="D603" i="9"/>
  <c r="D654" i="9"/>
  <c r="D111" i="9"/>
  <c r="D511" i="9"/>
  <c r="D563" i="9"/>
  <c r="D614" i="9"/>
  <c r="D664" i="9"/>
  <c r="D703" i="9"/>
  <c r="B3" i="2"/>
  <c r="A23" i="4"/>
  <c r="Y16" i="1" s="1"/>
  <c r="A24" i="4"/>
  <c r="B38" i="1" s="1"/>
  <c r="A25" i="4"/>
  <c r="M25" i="1" s="1"/>
  <c r="A26" i="4"/>
  <c r="B25" i="1" s="1"/>
  <c r="A31" i="4"/>
  <c r="B17" i="2" s="1"/>
  <c r="A32" i="4"/>
  <c r="B18" i="2" s="1"/>
  <c r="A33" i="4"/>
  <c r="B19" i="2" s="1"/>
  <c r="A39" i="4"/>
  <c r="F17" i="2" s="1"/>
  <c r="A40" i="4"/>
  <c r="F18" i="2" s="1"/>
  <c r="A41" i="4"/>
  <c r="F19" i="2" s="1"/>
  <c r="A42" i="4"/>
  <c r="I17" i="2" s="1"/>
  <c r="A43" i="4"/>
  <c r="I18" i="2" s="1"/>
  <c r="A44" i="4"/>
  <c r="B40" i="1" s="1"/>
  <c r="A5" i="4"/>
  <c r="A6" i="4"/>
  <c r="A14" i="4"/>
  <c r="A17" i="4"/>
  <c r="A18" i="4"/>
  <c r="A4" i="4"/>
  <c r="H15" i="2" l="1"/>
  <c r="A13" i="4"/>
  <c r="A21" i="4"/>
  <c r="Q16" i="1" s="1"/>
  <c r="A12" i="4"/>
  <c r="A11" i="4"/>
  <c r="A20" i="4"/>
  <c r="B5" i="1" s="1"/>
  <c r="B31" i="1" s="1"/>
  <c r="A10" i="4"/>
  <c r="A19" i="4"/>
  <c r="A9" i="4"/>
  <c r="A16" i="4"/>
  <c r="A8" i="4"/>
  <c r="A22" i="4"/>
  <c r="B16" i="1" s="1"/>
  <c r="A15" i="4"/>
  <c r="A7" i="4"/>
  <c r="W4" i="1" l="1"/>
  <c r="AK4" i="11"/>
  <c r="E15" i="2"/>
  <c r="A15" i="2"/>
  <c r="L2" i="2"/>
  <c r="I2" i="2"/>
  <c r="G2" i="9" l="1"/>
  <c r="G10" i="9"/>
  <c r="G18" i="9"/>
  <c r="G26" i="9"/>
  <c r="G34" i="9"/>
  <c r="G42" i="9"/>
  <c r="G50" i="9"/>
  <c r="G58" i="9"/>
  <c r="G66" i="9"/>
  <c r="G74" i="9"/>
  <c r="G82" i="9"/>
  <c r="G90" i="9"/>
  <c r="G98" i="9"/>
  <c r="G106" i="9"/>
  <c r="G114" i="9"/>
  <c r="G122" i="9"/>
  <c r="G130" i="9"/>
  <c r="G138" i="9"/>
  <c r="G146" i="9"/>
  <c r="G154" i="9"/>
  <c r="G162" i="9"/>
  <c r="G170" i="9"/>
  <c r="G178" i="9"/>
  <c r="G186" i="9"/>
  <c r="G194" i="9"/>
  <c r="G202" i="9"/>
  <c r="G210" i="9"/>
  <c r="G218" i="9"/>
  <c r="G226" i="9"/>
  <c r="G234" i="9"/>
  <c r="G242" i="9"/>
  <c r="G250" i="9"/>
  <c r="G258" i="9"/>
  <c r="G266" i="9"/>
  <c r="G274" i="9"/>
  <c r="G282" i="9"/>
  <c r="G290" i="9"/>
  <c r="G298" i="9"/>
  <c r="G306" i="9"/>
  <c r="G314" i="9"/>
  <c r="G322" i="9"/>
  <c r="G330" i="9"/>
  <c r="G338" i="9"/>
  <c r="G346" i="9"/>
  <c r="G354" i="9"/>
  <c r="G362" i="9"/>
  <c r="G370" i="9"/>
  <c r="G378" i="9"/>
  <c r="G386" i="9"/>
  <c r="G394" i="9"/>
  <c r="G402" i="9"/>
  <c r="G410" i="9"/>
  <c r="G418" i="9"/>
  <c r="G426" i="9"/>
  <c r="G434" i="9"/>
  <c r="G442" i="9"/>
  <c r="G450" i="9"/>
  <c r="G458" i="9"/>
  <c r="G466" i="9"/>
  <c r="G474" i="9"/>
  <c r="G482" i="9"/>
  <c r="G490" i="9"/>
  <c r="G498" i="9"/>
  <c r="G506" i="9"/>
  <c r="G514" i="9"/>
  <c r="G522" i="9"/>
  <c r="G530" i="9"/>
  <c r="G538" i="9"/>
  <c r="G546" i="9"/>
  <c r="G554" i="9"/>
  <c r="G562" i="9"/>
  <c r="G570" i="9"/>
  <c r="G578" i="9"/>
  <c r="G586" i="9"/>
  <c r="G594" i="9"/>
  <c r="G602" i="9"/>
  <c r="G610" i="9"/>
  <c r="G3" i="9"/>
  <c r="G11" i="9"/>
  <c r="G19" i="9"/>
  <c r="G27" i="9"/>
  <c r="G35" i="9"/>
  <c r="G43" i="9"/>
  <c r="G51" i="9"/>
  <c r="G59" i="9"/>
  <c r="G67" i="9"/>
  <c r="G75" i="9"/>
  <c r="G83" i="9"/>
  <c r="G91" i="9"/>
  <c r="G99" i="9"/>
  <c r="G107" i="9"/>
  <c r="G115" i="9"/>
  <c r="G123" i="9"/>
  <c r="G131" i="9"/>
  <c r="G139" i="9"/>
  <c r="G147" i="9"/>
  <c r="G155" i="9"/>
  <c r="G163" i="9"/>
  <c r="G171" i="9"/>
  <c r="G179" i="9"/>
  <c r="G187" i="9"/>
  <c r="G195" i="9"/>
  <c r="G203" i="9"/>
  <c r="G211" i="9"/>
  <c r="G219" i="9"/>
  <c r="G227" i="9"/>
  <c r="G235" i="9"/>
  <c r="G243" i="9"/>
  <c r="G251" i="9"/>
  <c r="G259" i="9"/>
  <c r="G267" i="9"/>
  <c r="G275" i="9"/>
  <c r="G283" i="9"/>
  <c r="G291" i="9"/>
  <c r="G299" i="9"/>
  <c r="G307" i="9"/>
  <c r="G315" i="9"/>
  <c r="G323" i="9"/>
  <c r="G331" i="9"/>
  <c r="G339" i="9"/>
  <c r="G347" i="9"/>
  <c r="G355" i="9"/>
  <c r="G363" i="9"/>
  <c r="G371" i="9"/>
  <c r="G379" i="9"/>
  <c r="G387" i="9"/>
  <c r="G395" i="9"/>
  <c r="G403" i="9"/>
  <c r="G411" i="9"/>
  <c r="G419" i="9"/>
  <c r="G427" i="9"/>
  <c r="G435" i="9"/>
  <c r="G443" i="9"/>
  <c r="G451" i="9"/>
  <c r="G459" i="9"/>
  <c r="G467" i="9"/>
  <c r="G475" i="9"/>
  <c r="G483" i="9"/>
  <c r="G491" i="9"/>
  <c r="G499" i="9"/>
  <c r="G507" i="9"/>
  <c r="G515" i="9"/>
  <c r="G523" i="9"/>
  <c r="G531" i="9"/>
  <c r="G539" i="9"/>
  <c r="G547" i="9"/>
  <c r="G555" i="9"/>
  <c r="G563" i="9"/>
  <c r="G571" i="9"/>
  <c r="G579" i="9"/>
  <c r="G587" i="9"/>
  <c r="G595" i="9"/>
  <c r="G603" i="9"/>
  <c r="G611" i="9"/>
  <c r="G4" i="9"/>
  <c r="G12" i="9"/>
  <c r="G20" i="9"/>
  <c r="G28" i="9"/>
  <c r="G36" i="9"/>
  <c r="G44" i="9"/>
  <c r="G52" i="9"/>
  <c r="G60" i="9"/>
  <c r="G68" i="9"/>
  <c r="G76" i="9"/>
  <c r="G84" i="9"/>
  <c r="G92" i="9"/>
  <c r="G100" i="9"/>
  <c r="G108" i="9"/>
  <c r="G116" i="9"/>
  <c r="G124" i="9"/>
  <c r="G132" i="9"/>
  <c r="G140" i="9"/>
  <c r="G148" i="9"/>
  <c r="G156" i="9"/>
  <c r="G164" i="9"/>
  <c r="G172" i="9"/>
  <c r="G180" i="9"/>
  <c r="G188" i="9"/>
  <c r="G196" i="9"/>
  <c r="G204" i="9"/>
  <c r="G212" i="9"/>
  <c r="G220" i="9"/>
  <c r="G228" i="9"/>
  <c r="G236" i="9"/>
  <c r="G244" i="9"/>
  <c r="G252" i="9"/>
  <c r="G260" i="9"/>
  <c r="G268" i="9"/>
  <c r="G276" i="9"/>
  <c r="G284" i="9"/>
  <c r="G292" i="9"/>
  <c r="G300" i="9"/>
  <c r="G308" i="9"/>
  <c r="G316" i="9"/>
  <c r="G324" i="9"/>
  <c r="G332" i="9"/>
  <c r="G340" i="9"/>
  <c r="G348" i="9"/>
  <c r="G356" i="9"/>
  <c r="G364" i="9"/>
  <c r="G372" i="9"/>
  <c r="G380" i="9"/>
  <c r="G388" i="9"/>
  <c r="G396" i="9"/>
  <c r="G404" i="9"/>
  <c r="G412" i="9"/>
  <c r="G420" i="9"/>
  <c r="G428" i="9"/>
  <c r="G436" i="9"/>
  <c r="G444" i="9"/>
  <c r="G452" i="9"/>
  <c r="G460" i="9"/>
  <c r="G468" i="9"/>
  <c r="G476" i="9"/>
  <c r="G484" i="9"/>
  <c r="G492" i="9"/>
  <c r="G500" i="9"/>
  <c r="G508" i="9"/>
  <c r="G516" i="9"/>
  <c r="G524" i="9"/>
  <c r="G532" i="9"/>
  <c r="G540" i="9"/>
  <c r="G548" i="9"/>
  <c r="G556" i="9"/>
  <c r="G564" i="9"/>
  <c r="G572" i="9"/>
  <c r="G580" i="9"/>
  <c r="G588" i="9"/>
  <c r="G596" i="9"/>
  <c r="G604" i="9"/>
  <c r="G7" i="9"/>
  <c r="G15" i="9"/>
  <c r="G23" i="9"/>
  <c r="G31" i="9"/>
  <c r="G39" i="9"/>
  <c r="G47" i="9"/>
  <c r="G55" i="9"/>
  <c r="G63" i="9"/>
  <c r="G71" i="9"/>
  <c r="G79" i="9"/>
  <c r="G87" i="9"/>
  <c r="G95" i="9"/>
  <c r="G103" i="9"/>
  <c r="G111" i="9"/>
  <c r="G119" i="9"/>
  <c r="G127" i="9"/>
  <c r="G135" i="9"/>
  <c r="G143" i="9"/>
  <c r="G151" i="9"/>
  <c r="G159" i="9"/>
  <c r="G167" i="9"/>
  <c r="G175" i="9"/>
  <c r="G183" i="9"/>
  <c r="G191" i="9"/>
  <c r="G199" i="9"/>
  <c r="G207" i="9"/>
  <c r="G215" i="9"/>
  <c r="G223" i="9"/>
  <c r="G231" i="9"/>
  <c r="G239" i="9"/>
  <c r="G247" i="9"/>
  <c r="G255" i="9"/>
  <c r="G263" i="9"/>
  <c r="G271" i="9"/>
  <c r="G279" i="9"/>
  <c r="G287" i="9"/>
  <c r="G295" i="9"/>
  <c r="G303" i="9"/>
  <c r="G311" i="9"/>
  <c r="G319" i="9"/>
  <c r="G327" i="9"/>
  <c r="G335" i="9"/>
  <c r="G343" i="9"/>
  <c r="G351" i="9"/>
  <c r="G359" i="9"/>
  <c r="G367" i="9"/>
  <c r="G375" i="9"/>
  <c r="G383" i="9"/>
  <c r="G391" i="9"/>
  <c r="G399" i="9"/>
  <c r="G407" i="9"/>
  <c r="G415" i="9"/>
  <c r="G423" i="9"/>
  <c r="G431" i="9"/>
  <c r="G439" i="9"/>
  <c r="G447" i="9"/>
  <c r="G455" i="9"/>
  <c r="G463" i="9"/>
  <c r="G471" i="9"/>
  <c r="G479" i="9"/>
  <c r="G487" i="9"/>
  <c r="G495" i="9"/>
  <c r="G503" i="9"/>
  <c r="G511" i="9"/>
  <c r="G519" i="9"/>
  <c r="G527" i="9"/>
  <c r="G535" i="9"/>
  <c r="G543" i="9"/>
  <c r="G551" i="9"/>
  <c r="G559" i="9"/>
  <c r="G567" i="9"/>
  <c r="G575" i="9"/>
  <c r="G583" i="9"/>
  <c r="G591" i="9"/>
  <c r="G599" i="9"/>
  <c r="G607" i="9"/>
  <c r="G615" i="9"/>
  <c r="G623" i="9"/>
  <c r="G631" i="9"/>
  <c r="G639" i="9"/>
  <c r="G647" i="9"/>
  <c r="G655" i="9"/>
  <c r="G663" i="9"/>
  <c r="G671" i="9"/>
  <c r="G679" i="9"/>
  <c r="G5" i="9"/>
  <c r="G21" i="9"/>
  <c r="G37" i="9"/>
  <c r="G53" i="9"/>
  <c r="G69" i="9"/>
  <c r="G85" i="9"/>
  <c r="G101" i="9"/>
  <c r="G117" i="9"/>
  <c r="G133" i="9"/>
  <c r="G149" i="9"/>
  <c r="G165" i="9"/>
  <c r="G181" i="9"/>
  <c r="G197" i="9"/>
  <c r="G213" i="9"/>
  <c r="G229" i="9"/>
  <c r="G245" i="9"/>
  <c r="G261" i="9"/>
  <c r="G277" i="9"/>
  <c r="G293" i="9"/>
  <c r="G309" i="9"/>
  <c r="G325" i="9"/>
  <c r="G341" i="9"/>
  <c r="G357" i="9"/>
  <c r="G373" i="9"/>
  <c r="G389" i="9"/>
  <c r="G405" i="9"/>
  <c r="G421" i="9"/>
  <c r="G437" i="9"/>
  <c r="G453" i="9"/>
  <c r="G469" i="9"/>
  <c r="G485" i="9"/>
  <c r="G501" i="9"/>
  <c r="G517" i="9"/>
  <c r="G533" i="9"/>
  <c r="G549" i="9"/>
  <c r="G565" i="9"/>
  <c r="G581" i="9"/>
  <c r="G597" i="9"/>
  <c r="G612" i="9"/>
  <c r="G621" i="9"/>
  <c r="G630" i="9"/>
  <c r="G640" i="9"/>
  <c r="G649" i="9"/>
  <c r="G658" i="9"/>
  <c r="G667" i="9"/>
  <c r="G676" i="9"/>
  <c r="G685" i="9"/>
  <c r="G693" i="9"/>
  <c r="G701" i="9"/>
  <c r="G709" i="9"/>
  <c r="G717" i="9"/>
  <c r="G25" i="9"/>
  <c r="G57" i="9"/>
  <c r="G105" i="9"/>
  <c r="G153" i="9"/>
  <c r="G201" i="9"/>
  <c r="G249" i="9"/>
  <c r="G297" i="9"/>
  <c r="G345" i="9"/>
  <c r="G393" i="9"/>
  <c r="G441" i="9"/>
  <c r="G489" i="9"/>
  <c r="G537" i="9"/>
  <c r="G585" i="9"/>
  <c r="G625" i="9"/>
  <c r="G652" i="9"/>
  <c r="G680" i="9"/>
  <c r="G704" i="9"/>
  <c r="G285" i="9"/>
  <c r="G557" i="9"/>
  <c r="G6" i="9"/>
  <c r="G22" i="9"/>
  <c r="G38" i="9"/>
  <c r="G54" i="9"/>
  <c r="G70" i="9"/>
  <c r="G86" i="9"/>
  <c r="G102" i="9"/>
  <c r="G118" i="9"/>
  <c r="G134" i="9"/>
  <c r="G150" i="9"/>
  <c r="G166" i="9"/>
  <c r="G182" i="9"/>
  <c r="G198" i="9"/>
  <c r="G214" i="9"/>
  <c r="G230" i="9"/>
  <c r="G246" i="9"/>
  <c r="G262" i="9"/>
  <c r="G278" i="9"/>
  <c r="G294" i="9"/>
  <c r="G310" i="9"/>
  <c r="G326" i="9"/>
  <c r="G342" i="9"/>
  <c r="G358" i="9"/>
  <c r="G374" i="9"/>
  <c r="G390" i="9"/>
  <c r="G406" i="9"/>
  <c r="G422" i="9"/>
  <c r="G438" i="9"/>
  <c r="G454" i="9"/>
  <c r="G470" i="9"/>
  <c r="G486" i="9"/>
  <c r="G502" i="9"/>
  <c r="G518" i="9"/>
  <c r="G534" i="9"/>
  <c r="G550" i="9"/>
  <c r="G566" i="9"/>
  <c r="G582" i="9"/>
  <c r="G598" i="9"/>
  <c r="G613" i="9"/>
  <c r="G622" i="9"/>
  <c r="G632" i="9"/>
  <c r="G641" i="9"/>
  <c r="G650" i="9"/>
  <c r="G659" i="9"/>
  <c r="G668" i="9"/>
  <c r="G677" i="9"/>
  <c r="G686" i="9"/>
  <c r="G694" i="9"/>
  <c r="G702" i="9"/>
  <c r="G710" i="9"/>
  <c r="G718" i="9"/>
  <c r="G41" i="9"/>
  <c r="G89" i="9"/>
  <c r="G137" i="9"/>
  <c r="G185" i="9"/>
  <c r="G233" i="9"/>
  <c r="G281" i="9"/>
  <c r="G329" i="9"/>
  <c r="G377" i="9"/>
  <c r="G425" i="9"/>
  <c r="G473" i="9"/>
  <c r="G521" i="9"/>
  <c r="G569" i="9"/>
  <c r="G616" i="9"/>
  <c r="G643" i="9"/>
  <c r="G670" i="9"/>
  <c r="G696" i="9"/>
  <c r="G13" i="9"/>
  <c r="G45" i="9"/>
  <c r="G77" i="9"/>
  <c r="G109" i="9"/>
  <c r="G141" i="9"/>
  <c r="G173" i="9"/>
  <c r="G205" i="9"/>
  <c r="G237" i="9"/>
  <c r="G269" i="9"/>
  <c r="G317" i="9"/>
  <c r="G349" i="9"/>
  <c r="G381" i="9"/>
  <c r="G413" i="9"/>
  <c r="G445" i="9"/>
  <c r="G461" i="9"/>
  <c r="G493" i="9"/>
  <c r="G525" i="9"/>
  <c r="G573" i="9"/>
  <c r="G8" i="9"/>
  <c r="G24" i="9"/>
  <c r="G40" i="9"/>
  <c r="G56" i="9"/>
  <c r="G72" i="9"/>
  <c r="G88" i="9"/>
  <c r="G104" i="9"/>
  <c r="G120" i="9"/>
  <c r="G136" i="9"/>
  <c r="G152" i="9"/>
  <c r="G168" i="9"/>
  <c r="G184" i="9"/>
  <c r="G200" i="9"/>
  <c r="G216" i="9"/>
  <c r="G232" i="9"/>
  <c r="G248" i="9"/>
  <c r="G264" i="9"/>
  <c r="G280" i="9"/>
  <c r="G296" i="9"/>
  <c r="G312" i="9"/>
  <c r="G328" i="9"/>
  <c r="G344" i="9"/>
  <c r="G360" i="9"/>
  <c r="G376" i="9"/>
  <c r="G392" i="9"/>
  <c r="G408" i="9"/>
  <c r="G424" i="9"/>
  <c r="G440" i="9"/>
  <c r="G456" i="9"/>
  <c r="G472" i="9"/>
  <c r="G488" i="9"/>
  <c r="G504" i="9"/>
  <c r="G520" i="9"/>
  <c r="G536" i="9"/>
  <c r="G552" i="9"/>
  <c r="G568" i="9"/>
  <c r="G584" i="9"/>
  <c r="G600" i="9"/>
  <c r="G614" i="9"/>
  <c r="G624" i="9"/>
  <c r="G633" i="9"/>
  <c r="G642" i="9"/>
  <c r="G651" i="9"/>
  <c r="G660" i="9"/>
  <c r="G669" i="9"/>
  <c r="G678" i="9"/>
  <c r="G687" i="9"/>
  <c r="G695" i="9"/>
  <c r="G703" i="9"/>
  <c r="G711" i="9"/>
  <c r="G719" i="9"/>
  <c r="G9" i="9"/>
  <c r="G73" i="9"/>
  <c r="G121" i="9"/>
  <c r="G169" i="9"/>
  <c r="G217" i="9"/>
  <c r="G265" i="9"/>
  <c r="G313" i="9"/>
  <c r="G361" i="9"/>
  <c r="G409" i="9"/>
  <c r="G457" i="9"/>
  <c r="G505" i="9"/>
  <c r="G553" i="9"/>
  <c r="G601" i="9"/>
  <c r="G634" i="9"/>
  <c r="G661" i="9"/>
  <c r="G688" i="9"/>
  <c r="G712" i="9"/>
  <c r="G29" i="9"/>
  <c r="G61" i="9"/>
  <c r="G93" i="9"/>
  <c r="G125" i="9"/>
  <c r="G157" i="9"/>
  <c r="G189" i="9"/>
  <c r="G221" i="9"/>
  <c r="G253" i="9"/>
  <c r="G301" i="9"/>
  <c r="G333" i="9"/>
  <c r="G365" i="9"/>
  <c r="G397" i="9"/>
  <c r="G429" i="9"/>
  <c r="G477" i="9"/>
  <c r="G509" i="9"/>
  <c r="G541" i="9"/>
  <c r="G589" i="9"/>
  <c r="G14" i="9"/>
  <c r="G30" i="9"/>
  <c r="G46" i="9"/>
  <c r="G62" i="9"/>
  <c r="G78" i="9"/>
  <c r="G94" i="9"/>
  <c r="G110" i="9"/>
  <c r="G126" i="9"/>
  <c r="G142" i="9"/>
  <c r="G158" i="9"/>
  <c r="G174" i="9"/>
  <c r="G190" i="9"/>
  <c r="G206" i="9"/>
  <c r="G222" i="9"/>
  <c r="G238" i="9"/>
  <c r="G254" i="9"/>
  <c r="G270" i="9"/>
  <c r="G286" i="9"/>
  <c r="G302" i="9"/>
  <c r="G318" i="9"/>
  <c r="G334" i="9"/>
  <c r="G350" i="9"/>
  <c r="G366" i="9"/>
  <c r="G382" i="9"/>
  <c r="G398" i="9"/>
  <c r="G414" i="9"/>
  <c r="G430" i="9"/>
  <c r="G446" i="9"/>
  <c r="G462" i="9"/>
  <c r="G478" i="9"/>
  <c r="G494" i="9"/>
  <c r="G510" i="9"/>
  <c r="G526" i="9"/>
  <c r="G542" i="9"/>
  <c r="G558" i="9"/>
  <c r="G574" i="9"/>
  <c r="G590" i="9"/>
  <c r="G606" i="9"/>
  <c r="G618" i="9"/>
  <c r="G627" i="9"/>
  <c r="G636" i="9"/>
  <c r="G645" i="9"/>
  <c r="G654" i="9"/>
  <c r="G664" i="9"/>
  <c r="G673" i="9"/>
  <c r="G682" i="9"/>
  <c r="G690" i="9"/>
  <c r="G698" i="9"/>
  <c r="G706" i="9"/>
  <c r="G714" i="9"/>
  <c r="G16" i="9"/>
  <c r="G32" i="9"/>
  <c r="G48" i="9"/>
  <c r="G64" i="9"/>
  <c r="G80" i="9"/>
  <c r="G96" i="9"/>
  <c r="G112" i="9"/>
  <c r="G128" i="9"/>
  <c r="G144" i="9"/>
  <c r="G160" i="9"/>
  <c r="G176" i="9"/>
  <c r="G192" i="9"/>
  <c r="G208" i="9"/>
  <c r="G224" i="9"/>
  <c r="G240" i="9"/>
  <c r="G256" i="9"/>
  <c r="G272" i="9"/>
  <c r="G288" i="9"/>
  <c r="G304" i="9"/>
  <c r="G320" i="9"/>
  <c r="G336" i="9"/>
  <c r="G352" i="9"/>
  <c r="G368" i="9"/>
  <c r="G384" i="9"/>
  <c r="G400" i="9"/>
  <c r="G416" i="9"/>
  <c r="G432" i="9"/>
  <c r="G448" i="9"/>
  <c r="G464" i="9"/>
  <c r="G480" i="9"/>
  <c r="G496" i="9"/>
  <c r="G512" i="9"/>
  <c r="G528" i="9"/>
  <c r="G544" i="9"/>
  <c r="G560" i="9"/>
  <c r="G576" i="9"/>
  <c r="G592" i="9"/>
  <c r="G608" i="9"/>
  <c r="G619" i="9"/>
  <c r="G628" i="9"/>
  <c r="G637" i="9"/>
  <c r="G646" i="9"/>
  <c r="G656" i="9"/>
  <c r="G665" i="9"/>
  <c r="G674" i="9"/>
  <c r="G683" i="9"/>
  <c r="G691" i="9"/>
  <c r="G699" i="9"/>
  <c r="G707" i="9"/>
  <c r="G715" i="9"/>
  <c r="G17" i="9"/>
  <c r="G33" i="9"/>
  <c r="G49" i="9"/>
  <c r="G65" i="9"/>
  <c r="G81" i="9"/>
  <c r="G97" i="9"/>
  <c r="G113" i="9"/>
  <c r="G129" i="9"/>
  <c r="G145" i="9"/>
  <c r="G161" i="9"/>
  <c r="G177" i="9"/>
  <c r="G193" i="9"/>
  <c r="G209" i="9"/>
  <c r="G225" i="9"/>
  <c r="G241" i="9"/>
  <c r="G257" i="9"/>
  <c r="G273" i="9"/>
  <c r="G401" i="9"/>
  <c r="G529" i="9"/>
  <c r="G620" i="9"/>
  <c r="G657" i="9"/>
  <c r="G692" i="9"/>
  <c r="G705" i="9"/>
  <c r="G638" i="9"/>
  <c r="G289" i="9"/>
  <c r="G417" i="9"/>
  <c r="G545" i="9"/>
  <c r="G626" i="9"/>
  <c r="G662" i="9"/>
  <c r="G697" i="9"/>
  <c r="G449" i="9"/>
  <c r="G337" i="9"/>
  <c r="G675" i="9"/>
  <c r="G305" i="9"/>
  <c r="G433" i="9"/>
  <c r="G561" i="9"/>
  <c r="G629" i="9"/>
  <c r="G666" i="9"/>
  <c r="G700" i="9"/>
  <c r="G321" i="9"/>
  <c r="G577" i="9"/>
  <c r="G635" i="9"/>
  <c r="G672" i="9"/>
  <c r="G465" i="9"/>
  <c r="G708" i="9"/>
  <c r="G353" i="9"/>
  <c r="G481" i="9"/>
  <c r="G605" i="9"/>
  <c r="G644" i="9"/>
  <c r="G681" i="9"/>
  <c r="G713" i="9"/>
  <c r="G369" i="9"/>
  <c r="G497" i="9"/>
  <c r="G609" i="9"/>
  <c r="G648" i="9"/>
  <c r="G684" i="9"/>
  <c r="G716" i="9"/>
  <c r="G385" i="9"/>
  <c r="G513" i="9"/>
  <c r="G617" i="9"/>
  <c r="G653" i="9"/>
  <c r="G689" i="9"/>
  <c r="G593" i="9"/>
  <c r="F29" i="2"/>
  <c r="H44" i="2"/>
  <c r="I44" i="2" s="1"/>
  <c r="B36" i="2"/>
  <c r="C36" i="2" s="1"/>
  <c r="D35" i="2"/>
  <c r="E35" i="2" s="1"/>
  <c r="B30" i="2"/>
  <c r="C30" i="2" s="1"/>
  <c r="F57" i="2"/>
  <c r="G57" i="2" s="1"/>
  <c r="F41" i="2"/>
  <c r="G41" i="2" s="1"/>
  <c r="D66" i="2"/>
  <c r="E66" i="2" s="1"/>
  <c r="H33" i="2"/>
  <c r="I33" i="2" s="1"/>
  <c r="B64" i="2"/>
  <c r="C64" i="2" s="1"/>
  <c r="H56" i="2"/>
  <c r="I56" i="2" s="1"/>
  <c r="B34" i="2"/>
  <c r="C34" i="2" s="1"/>
  <c r="B42" i="2"/>
  <c r="C42" i="2" s="1"/>
  <c r="D61" i="2"/>
  <c r="E61" i="2" s="1"/>
  <c r="F34" i="2"/>
  <c r="G34" i="2" s="1"/>
  <c r="B59" i="2"/>
  <c r="C59" i="2" s="1"/>
  <c r="F62" i="2"/>
  <c r="G62" i="2" s="1"/>
  <c r="F44" i="2"/>
  <c r="G44" i="2" s="1"/>
  <c r="D71" i="2"/>
  <c r="E71" i="2" s="1"/>
  <c r="D72" i="2"/>
  <c r="E72" i="2" s="1"/>
  <c r="H72" i="2"/>
  <c r="I72" i="2" s="1"/>
  <c r="D30" i="2"/>
  <c r="E30" i="2" s="1"/>
  <c r="H65" i="2"/>
  <c r="I65" i="2" s="1"/>
  <c r="F30" i="2"/>
  <c r="G30" i="2" s="1"/>
  <c r="B47" i="2"/>
  <c r="C47" i="2" s="1"/>
  <c r="H42" i="2"/>
  <c r="I42" i="2" s="1"/>
  <c r="H31" i="2"/>
  <c r="I31" i="2" s="1"/>
  <c r="B54" i="2"/>
  <c r="C54" i="2" s="1"/>
  <c r="D63" i="2"/>
  <c r="E63" i="2" s="1"/>
  <c r="B31" i="2"/>
  <c r="C31" i="2" s="1"/>
  <c r="H46" i="2"/>
  <c r="I46" i="2" s="1"/>
  <c r="H43" i="2"/>
  <c r="I43" i="2" s="1"/>
  <c r="D37" i="2"/>
  <c r="E37" i="2" s="1"/>
  <c r="B62" i="2"/>
  <c r="C62" i="2" s="1"/>
  <c r="F65" i="2"/>
  <c r="G65" i="2" s="1"/>
  <c r="D43" i="2"/>
  <c r="E43" i="2" s="1"/>
  <c r="D54" i="2"/>
  <c r="E54" i="2" s="1"/>
  <c r="H35" i="2"/>
  <c r="I35" i="2" s="1"/>
  <c r="B72" i="2"/>
  <c r="C72" i="2" s="1"/>
  <c r="D47" i="2"/>
  <c r="E47" i="2" s="1"/>
  <c r="D68" i="2"/>
  <c r="E68" i="2" s="1"/>
  <c r="B44" i="2"/>
  <c r="C44" i="2" s="1"/>
  <c r="D69" i="2"/>
  <c r="E69" i="2" s="1"/>
  <c r="F36" i="2"/>
  <c r="G36" i="2" s="1"/>
  <c r="B67" i="2"/>
  <c r="C67" i="2" s="1"/>
  <c r="F70" i="2"/>
  <c r="G70" i="2" s="1"/>
  <c r="F46" i="2"/>
  <c r="G46" i="2" s="1"/>
  <c r="H59" i="2"/>
  <c r="I59" i="2" s="1"/>
  <c r="H68" i="2"/>
  <c r="I68" i="2" s="1"/>
  <c r="B73" i="2"/>
  <c r="C73" i="2" s="1"/>
  <c r="D41" i="2"/>
  <c r="E41" i="2" s="1"/>
  <c r="D58" i="2"/>
  <c r="E58" i="2" s="1"/>
  <c r="F31" i="2"/>
  <c r="G31" i="2" s="1"/>
  <c r="D49" i="2"/>
  <c r="E49" i="2" s="1"/>
  <c r="H70" i="2"/>
  <c r="I70" i="2" s="1"/>
  <c r="H39" i="2"/>
  <c r="I39" i="2" s="1"/>
  <c r="H63" i="2"/>
  <c r="I63" i="2" s="1"/>
  <c r="B56" i="2"/>
  <c r="C56" i="2" s="1"/>
  <c r="B48" i="2"/>
  <c r="C48" i="2" s="1"/>
  <c r="F40" i="2"/>
  <c r="G40" i="2" s="1"/>
  <c r="H34" i="2"/>
  <c r="I34" i="2" s="1"/>
  <c r="F55" i="2"/>
  <c r="G55" i="2" s="1"/>
  <c r="H60" i="2"/>
  <c r="I60" i="2" s="1"/>
  <c r="H47" i="2"/>
  <c r="I47" i="2" s="1"/>
  <c r="F69" i="2"/>
  <c r="G69" i="2" s="1"/>
  <c r="H40" i="2"/>
  <c r="I40" i="2" s="1"/>
  <c r="H45" i="2"/>
  <c r="I45" i="2" s="1"/>
  <c r="B49" i="2"/>
  <c r="C49" i="2" s="1"/>
  <c r="H69" i="2"/>
  <c r="I69" i="2" s="1"/>
  <c r="F49" i="2"/>
  <c r="G49" i="2" s="1"/>
  <c r="D40" i="2"/>
  <c r="E40" i="2" s="1"/>
  <c r="H54" i="2"/>
  <c r="I54" i="2" s="1"/>
  <c r="B57" i="2"/>
  <c r="C57" i="2" s="1"/>
  <c r="B33" i="2"/>
  <c r="C33" i="2" s="1"/>
  <c r="H48" i="2"/>
  <c r="I48" i="2" s="1"/>
  <c r="H49" i="2"/>
  <c r="I49" i="2" s="1"/>
  <c r="D39" i="2"/>
  <c r="E39" i="2" s="1"/>
  <c r="B70" i="2"/>
  <c r="C70" i="2" s="1"/>
  <c r="F73" i="2"/>
  <c r="G73" i="2" s="1"/>
  <c r="D45" i="2"/>
  <c r="E45" i="2" s="1"/>
  <c r="H62" i="2"/>
  <c r="I62" i="2" s="1"/>
  <c r="H37" i="2"/>
  <c r="I37" i="2" s="1"/>
  <c r="D67" i="2"/>
  <c r="E67" i="2" s="1"/>
  <c r="F45" i="2"/>
  <c r="G45" i="2" s="1"/>
  <c r="F68" i="2"/>
  <c r="G68" i="2" s="1"/>
  <c r="B46" i="2"/>
  <c r="C46" i="2" s="1"/>
  <c r="H57" i="2"/>
  <c r="I57" i="2" s="1"/>
  <c r="F38" i="2"/>
  <c r="G38" i="2" s="1"/>
  <c r="D55" i="2"/>
  <c r="E55" i="2" s="1"/>
  <c r="H32" i="2"/>
  <c r="I32" i="2" s="1"/>
  <c r="F48" i="2"/>
  <c r="G48" i="2" s="1"/>
  <c r="H67" i="2"/>
  <c r="I67" i="2" s="1"/>
  <c r="F56" i="2"/>
  <c r="G56" i="2" s="1"/>
  <c r="B35" i="2"/>
  <c r="C35" i="2" s="1"/>
  <c r="D32" i="2"/>
  <c r="E32" i="2" s="1"/>
  <c r="D62" i="2"/>
  <c r="E62" i="2" s="1"/>
  <c r="F72" i="2"/>
  <c r="G72" i="2" s="1"/>
  <c r="B41" i="2"/>
  <c r="C41" i="2" s="1"/>
  <c r="H71" i="2"/>
  <c r="I71" i="2" s="1"/>
  <c r="D46" i="2"/>
  <c r="E46" i="2" s="1"/>
  <c r="D56" i="2"/>
  <c r="E56" i="2" s="1"/>
  <c r="D33" i="2"/>
  <c r="E33" i="2" s="1"/>
  <c r="D59" i="2"/>
  <c r="E59" i="2" s="1"/>
  <c r="F67" i="2"/>
  <c r="G67" i="2" s="1"/>
  <c r="D48" i="2"/>
  <c r="E48" i="2" s="1"/>
  <c r="F42" i="2"/>
  <c r="G42" i="2" s="1"/>
  <c r="B37" i="2"/>
  <c r="C37" i="2" s="1"/>
  <c r="B69" i="2"/>
  <c r="C69" i="2" s="1"/>
  <c r="H64" i="2"/>
  <c r="I64" i="2" s="1"/>
  <c r="B43" i="2"/>
  <c r="C43" i="2" s="1"/>
  <c r="D65" i="2"/>
  <c r="E65" i="2" s="1"/>
  <c r="F33" i="2"/>
  <c r="G33" i="2" s="1"/>
  <c r="B55" i="2"/>
  <c r="C55" i="2" s="1"/>
  <c r="F58" i="2"/>
  <c r="G58" i="2" s="1"/>
  <c r="H41" i="2"/>
  <c r="I41" i="2" s="1"/>
  <c r="F59" i="2"/>
  <c r="G59" i="2" s="1"/>
  <c r="D60" i="2"/>
  <c r="E60" i="2" s="1"/>
  <c r="D34" i="2"/>
  <c r="E34" i="2" s="1"/>
  <c r="H30" i="2"/>
  <c r="I30" i="2" s="1"/>
  <c r="H73" i="2"/>
  <c r="I73" i="2" s="1"/>
  <c r="D42" i="2"/>
  <c r="E42" i="2" s="1"/>
  <c r="D70" i="2"/>
  <c r="E70" i="2" s="1"/>
  <c r="H36" i="2"/>
  <c r="I36" i="2" s="1"/>
  <c r="B60" i="2"/>
  <c r="C60" i="2" s="1"/>
  <c r="F63" i="2"/>
  <c r="G63" i="2" s="1"/>
  <c r="B32" i="2"/>
  <c r="C32" i="2" s="1"/>
  <c r="B39" i="2"/>
  <c r="C39" i="2" s="1"/>
  <c r="D64" i="2"/>
  <c r="E64" i="2" s="1"/>
  <c r="F60" i="2"/>
  <c r="G60" i="2" s="1"/>
  <c r="B45" i="2"/>
  <c r="C45" i="2" s="1"/>
  <c r="D73" i="2"/>
  <c r="E73" i="2" s="1"/>
  <c r="F35" i="2"/>
  <c r="G35" i="2" s="1"/>
  <c r="B63" i="2"/>
  <c r="C63" i="2" s="1"/>
  <c r="F66" i="2"/>
  <c r="G66" i="2" s="1"/>
  <c r="F43" i="2"/>
  <c r="G43" i="2" s="1"/>
  <c r="B38" i="2"/>
  <c r="C38" i="2" s="1"/>
  <c r="H55" i="2"/>
  <c r="I55" i="2" s="1"/>
  <c r="D36" i="2"/>
  <c r="E36" i="2" s="1"/>
  <c r="B58" i="2"/>
  <c r="C58" i="2" s="1"/>
  <c r="F61" i="2"/>
  <c r="G61" i="2" s="1"/>
  <c r="D44" i="2"/>
  <c r="E44" i="2" s="1"/>
  <c r="H58" i="2"/>
  <c r="I58" i="2" s="1"/>
  <c r="H38" i="2"/>
  <c r="I38" i="2" s="1"/>
  <c r="B68" i="2"/>
  <c r="C68" i="2" s="1"/>
  <c r="F71" i="2"/>
  <c r="G71" i="2" s="1"/>
  <c r="B40" i="2"/>
  <c r="C40" i="2" s="1"/>
  <c r="D31" i="2"/>
  <c r="E31" i="2" s="1"/>
  <c r="H61" i="2"/>
  <c r="I61" i="2" s="1"/>
  <c r="F37" i="2"/>
  <c r="G37" i="2" s="1"/>
  <c r="B71" i="2"/>
  <c r="C71" i="2" s="1"/>
  <c r="F54" i="2"/>
  <c r="F47" i="2"/>
  <c r="G47" i="2" s="1"/>
  <c r="D38" i="2"/>
  <c r="E38" i="2" s="1"/>
  <c r="B66" i="2"/>
  <c r="C66" i="2" s="1"/>
  <c r="H66" i="2"/>
  <c r="I66" i="2" s="1"/>
  <c r="B61" i="2"/>
  <c r="C61" i="2" s="1"/>
  <c r="F64" i="2"/>
  <c r="G64" i="2" s="1"/>
  <c r="F39" i="2"/>
  <c r="G39" i="2" s="1"/>
  <c r="B65" i="2"/>
  <c r="C65" i="2" s="1"/>
  <c r="F32" i="2"/>
  <c r="G32" i="2" s="1"/>
  <c r="D57" i="2"/>
  <c r="E57" i="2" s="1"/>
  <c r="H29" i="2"/>
  <c r="H53" i="2"/>
  <c r="F53" i="2"/>
  <c r="D53" i="2"/>
  <c r="B29" i="2"/>
  <c r="B53" i="2"/>
  <c r="D29" i="2"/>
  <c r="I29" i="10" s="1"/>
  <c r="C75" i="2" l="1"/>
  <c r="H2" i="10"/>
  <c r="H12" i="10"/>
  <c r="G54" i="2"/>
  <c r="G75" i="2" s="1"/>
  <c r="C51" i="2"/>
  <c r="I75" i="2"/>
  <c r="E75" i="2"/>
  <c r="I51" i="2"/>
  <c r="E51" i="2"/>
  <c r="G51" i="2"/>
  <c r="H65" i="10"/>
  <c r="H25" i="10"/>
  <c r="H5" i="10"/>
  <c r="H10" i="10"/>
  <c r="H56" i="10"/>
  <c r="H81" i="10"/>
  <c r="H28" i="10"/>
  <c r="H91" i="10"/>
  <c r="H40" i="10"/>
  <c r="H63" i="10"/>
  <c r="H79" i="10"/>
  <c r="H27" i="10"/>
  <c r="H36" i="10"/>
  <c r="H17" i="10"/>
  <c r="H71" i="10"/>
  <c r="H42" i="10"/>
  <c r="H39" i="10"/>
  <c r="H30" i="10"/>
  <c r="H92" i="10"/>
  <c r="H59" i="10"/>
  <c r="H80" i="10"/>
  <c r="H6" i="10"/>
  <c r="H13" i="10"/>
  <c r="H73" i="10"/>
  <c r="H9" i="10"/>
  <c r="H68" i="10"/>
  <c r="H90" i="10"/>
  <c r="H16" i="10"/>
  <c r="H41" i="10"/>
  <c r="H45" i="10"/>
  <c r="H18" i="10"/>
  <c r="H66" i="10"/>
  <c r="H51" i="10"/>
  <c r="H53" i="10"/>
  <c r="H47" i="10"/>
  <c r="H76" i="10"/>
  <c r="H50" i="10"/>
  <c r="H8" i="10"/>
  <c r="H69" i="10"/>
  <c r="H72" i="10"/>
  <c r="H7" i="10"/>
  <c r="H61" i="10"/>
  <c r="H94" i="10"/>
  <c r="H3" i="10"/>
  <c r="H60" i="10"/>
  <c r="H95" i="10"/>
  <c r="H31" i="10"/>
  <c r="H85" i="10"/>
  <c r="H75" i="10"/>
  <c r="H21" i="10"/>
  <c r="H35" i="10"/>
  <c r="H87" i="10"/>
  <c r="H22" i="10"/>
  <c r="H67" i="10"/>
  <c r="H52" i="10"/>
  <c r="H54" i="10"/>
  <c r="H84" i="10"/>
  <c r="H20" i="10"/>
  <c r="H83" i="10"/>
  <c r="H23" i="10"/>
  <c r="H82" i="10"/>
  <c r="H19" i="10"/>
  <c r="H58" i="10"/>
  <c r="H49" i="10"/>
  <c r="H33" i="10"/>
  <c r="H46" i="10"/>
  <c r="H62" i="10"/>
  <c r="H29" i="10"/>
  <c r="H34" i="10"/>
  <c r="H15" i="10"/>
  <c r="H48" i="10"/>
  <c r="H78" i="10"/>
  <c r="H64" i="10"/>
  <c r="H77" i="10"/>
  <c r="H88" i="10"/>
  <c r="H37" i="10"/>
  <c r="H86" i="10"/>
  <c r="H38" i="10"/>
  <c r="H24" i="10"/>
  <c r="H14" i="10"/>
  <c r="H4" i="10"/>
  <c r="H55" i="10"/>
  <c r="H93" i="10"/>
  <c r="H74" i="10"/>
  <c r="H57" i="10"/>
  <c r="H44" i="10"/>
  <c r="H70" i="10"/>
  <c r="H32" i="10"/>
  <c r="H89" i="10"/>
  <c r="H43" i="10"/>
  <c r="H26" i="10"/>
  <c r="H11" i="10"/>
  <c r="K18" i="10"/>
  <c r="K30" i="10"/>
  <c r="K59" i="10"/>
  <c r="K7" i="10"/>
  <c r="K47" i="10"/>
  <c r="K6" i="10"/>
  <c r="K76" i="10"/>
  <c r="K73" i="10"/>
  <c r="K90" i="10"/>
  <c r="K16" i="10"/>
  <c r="K36" i="10"/>
  <c r="K45" i="10"/>
  <c r="K61" i="10"/>
  <c r="K13" i="10"/>
  <c r="K28" i="10"/>
  <c r="K32" i="10"/>
  <c r="K14" i="10"/>
  <c r="K34" i="10"/>
  <c r="K78" i="10"/>
  <c r="K26" i="10"/>
  <c r="K21" i="10"/>
  <c r="K35" i="10"/>
  <c r="K66" i="10"/>
  <c r="K51" i="10"/>
  <c r="K53" i="10"/>
  <c r="K3" i="10"/>
  <c r="K95" i="10"/>
  <c r="K79" i="10"/>
  <c r="K85" i="10"/>
  <c r="K27" i="10"/>
  <c r="K75" i="10"/>
  <c r="K87" i="10"/>
  <c r="K50" i="10"/>
  <c r="K5" i="10"/>
  <c r="K60" i="10"/>
  <c r="K41" i="10"/>
  <c r="K57" i="10"/>
  <c r="K77" i="10"/>
  <c r="K23" i="10"/>
  <c r="K65" i="10"/>
  <c r="K80" i="10"/>
  <c r="K10" i="10"/>
  <c r="K56" i="10"/>
  <c r="K81" i="10"/>
  <c r="K9" i="10"/>
  <c r="K91" i="10"/>
  <c r="K17" i="10"/>
  <c r="K63" i="10"/>
  <c r="K72" i="10"/>
  <c r="K92" i="10"/>
  <c r="K25" i="10"/>
  <c r="K94" i="10"/>
  <c r="K31" i="10"/>
  <c r="K68" i="10"/>
  <c r="K40" i="10"/>
  <c r="K49" i="10"/>
  <c r="K62" i="10"/>
  <c r="K2" i="10"/>
  <c r="K74" i="10"/>
  <c r="K71" i="10"/>
  <c r="K22" i="10"/>
  <c r="K67" i="10"/>
  <c r="K44" i="10"/>
  <c r="K52" i="10"/>
  <c r="K93" i="10"/>
  <c r="K54" i="10"/>
  <c r="K42" i="10"/>
  <c r="K8" i="10"/>
  <c r="K39" i="10"/>
  <c r="K12" i="10"/>
  <c r="K20" i="10"/>
  <c r="K55" i="10"/>
  <c r="K83" i="10"/>
  <c r="K82" i="10"/>
  <c r="K11" i="10"/>
  <c r="K58" i="10"/>
  <c r="K89" i="10"/>
  <c r="K33" i="10"/>
  <c r="K29" i="10"/>
  <c r="K84" i="10"/>
  <c r="K15" i="10"/>
  <c r="K64" i="10"/>
  <c r="K19" i="10"/>
  <c r="K24" i="10"/>
  <c r="K48" i="10"/>
  <c r="K37" i="10"/>
  <c r="K46" i="10"/>
  <c r="K38" i="10"/>
  <c r="K88" i="10"/>
  <c r="K86" i="10"/>
  <c r="K43" i="10"/>
  <c r="K69" i="10"/>
  <c r="K70" i="10"/>
  <c r="K4" i="10"/>
  <c r="J21" i="10"/>
  <c r="J66" i="10"/>
  <c r="J92" i="10"/>
  <c r="J51" i="10"/>
  <c r="J80" i="10"/>
  <c r="J53" i="10"/>
  <c r="J13" i="10"/>
  <c r="J9" i="10"/>
  <c r="J27" i="10"/>
  <c r="J68" i="10"/>
  <c r="J41" i="10"/>
  <c r="J87" i="10"/>
  <c r="J81" i="10"/>
  <c r="J64" i="10"/>
  <c r="J11" i="10"/>
  <c r="J86" i="10"/>
  <c r="J72" i="10"/>
  <c r="J25" i="10"/>
  <c r="J5" i="10"/>
  <c r="J61" i="10"/>
  <c r="J10" i="10"/>
  <c r="J56" i="10"/>
  <c r="J94" i="10"/>
  <c r="J60" i="10"/>
  <c r="J31" i="10"/>
  <c r="J28" i="10"/>
  <c r="J40" i="10"/>
  <c r="J17" i="10"/>
  <c r="J65" i="10"/>
  <c r="J85" i="10"/>
  <c r="J75" i="10"/>
  <c r="J93" i="10"/>
  <c r="J89" i="10"/>
  <c r="J38" i="10"/>
  <c r="J24" i="10"/>
  <c r="J4" i="10"/>
  <c r="J18" i="10"/>
  <c r="J30" i="10"/>
  <c r="J35" i="10"/>
  <c r="J59" i="10"/>
  <c r="J47" i="10"/>
  <c r="J6" i="10"/>
  <c r="J76" i="10"/>
  <c r="J73" i="10"/>
  <c r="J79" i="10"/>
  <c r="J90" i="10"/>
  <c r="J16" i="10"/>
  <c r="J36" i="10"/>
  <c r="J45" i="10"/>
  <c r="J50" i="10"/>
  <c r="J7" i="10"/>
  <c r="J3" i="10"/>
  <c r="J95" i="10"/>
  <c r="J91" i="10"/>
  <c r="J63" i="10"/>
  <c r="J55" i="10"/>
  <c r="J88" i="10"/>
  <c r="J44" i="10"/>
  <c r="J70" i="10"/>
  <c r="J57" i="10"/>
  <c r="J77" i="10"/>
  <c r="J32" i="10"/>
  <c r="J37" i="10"/>
  <c r="J14" i="10"/>
  <c r="J2" i="10"/>
  <c r="J74" i="10"/>
  <c r="J26" i="10"/>
  <c r="J43" i="10"/>
  <c r="J22" i="10"/>
  <c r="J67" i="10"/>
  <c r="J23" i="10"/>
  <c r="J52" i="10"/>
  <c r="J19" i="10"/>
  <c r="J54" i="10"/>
  <c r="J49" i="10"/>
  <c r="J46" i="10"/>
  <c r="J62" i="10"/>
  <c r="J34" i="10"/>
  <c r="J8" i="10"/>
  <c r="J48" i="10"/>
  <c r="J78" i="10"/>
  <c r="J83" i="10"/>
  <c r="J33" i="10"/>
  <c r="J42" i="10"/>
  <c r="J29" i="10"/>
  <c r="J15" i="10"/>
  <c r="J12" i="10"/>
  <c r="J71" i="10"/>
  <c r="J82" i="10"/>
  <c r="J84" i="10"/>
  <c r="J69" i="10"/>
  <c r="J39" i="10"/>
  <c r="J58" i="10"/>
  <c r="J20" i="10"/>
  <c r="I72" i="10"/>
  <c r="I35" i="10"/>
  <c r="I61" i="10"/>
  <c r="I94" i="10"/>
  <c r="I3" i="10"/>
  <c r="I60" i="10"/>
  <c r="I95" i="10"/>
  <c r="I79" i="10"/>
  <c r="I31" i="10"/>
  <c r="I85" i="10"/>
  <c r="I75" i="10"/>
  <c r="I17" i="10"/>
  <c r="I50" i="10"/>
  <c r="I6" i="10"/>
  <c r="I16" i="10"/>
  <c r="I37" i="10"/>
  <c r="I19" i="10"/>
  <c r="I15" i="10"/>
  <c r="I43" i="10"/>
  <c r="I18" i="10"/>
  <c r="I65" i="10"/>
  <c r="I7" i="10"/>
  <c r="I47" i="10"/>
  <c r="I76" i="10"/>
  <c r="I81" i="10"/>
  <c r="I91" i="10"/>
  <c r="I36" i="10"/>
  <c r="I63" i="10"/>
  <c r="I30" i="10"/>
  <c r="I59" i="10"/>
  <c r="I10" i="10"/>
  <c r="I9" i="10"/>
  <c r="I90" i="10"/>
  <c r="I45" i="10"/>
  <c r="I83" i="10"/>
  <c r="I82" i="10"/>
  <c r="I58" i="10"/>
  <c r="I46" i="10"/>
  <c r="I21" i="10"/>
  <c r="I66" i="10"/>
  <c r="I92" i="10"/>
  <c r="I25" i="10"/>
  <c r="I5" i="10"/>
  <c r="I51" i="10"/>
  <c r="I53" i="10"/>
  <c r="I13" i="10"/>
  <c r="I27" i="10"/>
  <c r="I68" i="10"/>
  <c r="I28" i="10"/>
  <c r="I40" i="10"/>
  <c r="I41" i="10"/>
  <c r="I87" i="10"/>
  <c r="I80" i="10"/>
  <c r="I56" i="10"/>
  <c r="I73" i="10"/>
  <c r="I33" i="10"/>
  <c r="I48" i="10"/>
  <c r="I64" i="10"/>
  <c r="I55" i="10"/>
  <c r="I88" i="10"/>
  <c r="I11" i="10"/>
  <c r="I86" i="10"/>
  <c r="I89" i="10"/>
  <c r="I38" i="10"/>
  <c r="I84" i="10"/>
  <c r="I24" i="10"/>
  <c r="I69" i="10"/>
  <c r="I4" i="10"/>
  <c r="I70" i="10"/>
  <c r="I57" i="10"/>
  <c r="I71" i="10"/>
  <c r="I32" i="10"/>
  <c r="I44" i="10"/>
  <c r="I14" i="10"/>
  <c r="I93" i="10"/>
  <c r="I42" i="10"/>
  <c r="I2" i="10"/>
  <c r="I74" i="10"/>
  <c r="I62" i="10"/>
  <c r="I22" i="10"/>
  <c r="I67" i="10"/>
  <c r="I26" i="10"/>
  <c r="I12" i="10"/>
  <c r="I77" i="10"/>
  <c r="I78" i="10"/>
  <c r="I54" i="10"/>
  <c r="I39" i="10"/>
  <c r="I23" i="10"/>
  <c r="I8" i="10"/>
  <c r="I20" i="10"/>
  <c r="I52" i="10"/>
  <c r="I34" i="10"/>
  <c r="I49" i="10"/>
  <c r="A51" i="2" l="1"/>
  <c r="B22" i="1" s="1"/>
  <c r="H90" i="2" s="1"/>
  <c r="A75" i="2"/>
  <c r="B18" i="1" s="1"/>
  <c r="K96" i="10"/>
  <c r="I53" i="2" s="1"/>
  <c r="I96" i="10"/>
  <c r="E53" i="2" s="1"/>
  <c r="J96" i="10"/>
  <c r="G53" i="2" s="1"/>
  <c r="H96" i="10"/>
  <c r="C53" i="2" s="1"/>
  <c r="I90" i="2" l="1"/>
  <c r="H89" i="2"/>
  <c r="G29" i="2"/>
  <c r="E29" i="2"/>
  <c r="B82" i="2" s="1"/>
  <c r="I29" i="2"/>
  <c r="B84" i="2" s="1"/>
  <c r="C29" i="2"/>
  <c r="J90" i="2" l="1"/>
  <c r="B83" i="2"/>
  <c r="A83" i="2" s="1"/>
  <c r="A82" i="2"/>
  <c r="B81" i="2"/>
  <c r="A81" i="2" s="1"/>
  <c r="A84" i="2"/>
  <c r="B80" i="2" l="1"/>
  <c r="A80" i="2" s="1"/>
  <c r="F80" i="2" s="1" a="1"/>
  <c r="F80" i="2" s="1"/>
  <c r="F84" i="2" l="1" a="1"/>
  <c r="F84" i="2" s="1"/>
  <c r="F82" i="2" a="1"/>
  <c r="F82" i="2" s="1"/>
  <c r="G81" i="2" a="1"/>
  <c r="G81" i="2" s="1"/>
  <c r="H81" i="2" s="1"/>
  <c r="G84" i="2" a="1"/>
  <c r="G84" i="2" s="1"/>
  <c r="H84" i="2" s="1"/>
  <c r="G83" i="2" a="1"/>
  <c r="G83" i="2" s="1"/>
  <c r="H83" i="2" s="1"/>
  <c r="F83" i="2" a="1"/>
  <c r="F83" i="2" s="1"/>
  <c r="G82" i="2" a="1"/>
  <c r="G82" i="2" s="1"/>
  <c r="H82" i="2" s="1"/>
  <c r="G80" i="2" a="1"/>
  <c r="G80" i="2" s="1"/>
  <c r="H80" i="2" s="1"/>
  <c r="F81" i="2" a="1"/>
  <c r="F81" i="2" s="1"/>
  <c r="H86" i="2" l="1"/>
  <c r="H88" i="2" s="1"/>
  <c r="F86" i="2"/>
  <c r="B29" i="1" l="1"/>
  <c r="H87" i="2"/>
  <c r="Y29" i="1" s="1"/>
  <c r="L92" i="10"/>
  <c r="M92" i="10" s="1"/>
  <c r="E302" i="9"/>
  <c r="I302" i="9" s="1"/>
  <c r="E586" i="9"/>
  <c r="I586" i="9" s="1"/>
  <c r="E35" i="9"/>
  <c r="I35" i="9" s="1"/>
  <c r="E267" i="9"/>
  <c r="I267" i="9" s="1"/>
  <c r="E108" i="9"/>
  <c r="I108" i="9" s="1"/>
  <c r="E338" i="9"/>
  <c r="I338" i="9" s="1"/>
  <c r="E71" i="9"/>
  <c r="I71" i="9" s="1"/>
  <c r="E202" i="9"/>
  <c r="I202" i="9" s="1"/>
  <c r="E186" i="9"/>
  <c r="I186" i="9" s="1"/>
  <c r="E191" i="9"/>
  <c r="I191" i="9" s="1"/>
  <c r="E227" i="9"/>
  <c r="I227" i="9" s="1"/>
  <c r="E106" i="9"/>
  <c r="I106" i="9" s="1"/>
  <c r="E346" i="9"/>
  <c r="I346" i="9" s="1"/>
  <c r="E123" i="9"/>
  <c r="I123" i="9" s="1"/>
  <c r="E413" i="9"/>
  <c r="I413" i="9" s="1"/>
  <c r="E291" i="9"/>
  <c r="I291" i="9" s="1"/>
  <c r="E443" i="9"/>
  <c r="I443" i="9" s="1"/>
  <c r="E51" i="9"/>
  <c r="I51" i="9" s="1"/>
  <c r="E519" i="9"/>
  <c r="I519" i="9" s="1"/>
  <c r="E583" i="9"/>
  <c r="I583" i="9" s="1"/>
  <c r="E66" i="9"/>
  <c r="I66" i="9" s="1"/>
  <c r="E419" i="9"/>
  <c r="I419" i="9" s="1"/>
  <c r="E603" i="9"/>
  <c r="I603" i="9" s="1"/>
  <c r="E244" i="9"/>
  <c r="I244" i="9" s="1"/>
  <c r="E646" i="9"/>
  <c r="I646" i="9" s="1"/>
  <c r="E400" i="9"/>
  <c r="I400" i="9" s="1"/>
  <c r="E194" i="9"/>
  <c r="I194" i="9" s="1"/>
  <c r="E139" i="9"/>
  <c r="I139" i="9" s="1"/>
  <c r="E4" i="9"/>
  <c r="I4" i="9" s="1"/>
  <c r="E247" i="9"/>
  <c r="I247" i="9" s="1"/>
  <c r="E385" i="9"/>
  <c r="I385" i="9" s="1"/>
  <c r="E452" i="9"/>
  <c r="I452" i="9" s="1"/>
  <c r="E170" i="9"/>
  <c r="I170" i="9" s="1"/>
  <c r="E386" i="9"/>
  <c r="I386" i="9" s="1"/>
  <c r="E203" i="9"/>
  <c r="I203" i="9" s="1"/>
  <c r="E122" i="9"/>
  <c r="I122" i="9" s="1"/>
  <c r="E149" i="9"/>
  <c r="I149" i="9" s="1"/>
  <c r="E250" i="9"/>
  <c r="I250" i="9" s="1"/>
  <c r="E673" i="9"/>
  <c r="I673" i="9" s="1"/>
  <c r="E523" i="9"/>
  <c r="I523" i="9" s="1"/>
  <c r="E15" i="9"/>
  <c r="I15" i="9" s="1"/>
  <c r="E90" i="9"/>
  <c r="I90" i="9" s="1"/>
  <c r="E674" i="9"/>
  <c r="I674" i="9" s="1"/>
  <c r="E27" i="9"/>
  <c r="I27" i="9" s="1"/>
  <c r="E83" i="9"/>
  <c r="I83" i="9" s="1"/>
  <c r="E398" i="9"/>
  <c r="I398" i="9" s="1"/>
  <c r="E378" i="9"/>
  <c r="I378" i="9" s="1"/>
  <c r="E514" i="9"/>
  <c r="I514" i="9" s="1"/>
  <c r="E178" i="9"/>
  <c r="I178" i="9" s="1"/>
  <c r="E530" i="9"/>
  <c r="I530" i="9" s="1"/>
  <c r="E371" i="9"/>
  <c r="I371" i="9" s="1"/>
  <c r="E547" i="9"/>
  <c r="I547" i="9" s="1"/>
  <c r="E221" i="9"/>
  <c r="I221" i="9" s="1"/>
  <c r="E162" i="9"/>
  <c r="I162" i="9" s="1"/>
  <c r="E467" i="9"/>
  <c r="I467" i="9" s="1"/>
  <c r="E711" i="9"/>
  <c r="I711" i="9" s="1"/>
  <c r="E10" i="9"/>
  <c r="I10" i="9" s="1"/>
  <c r="E434" i="9"/>
  <c r="I434" i="9" s="1"/>
  <c r="E363" i="9"/>
  <c r="I363" i="9" s="1"/>
  <c r="E539" i="9"/>
  <c r="I539" i="9" s="1"/>
  <c r="E60" i="9"/>
  <c r="I60" i="9" s="1"/>
  <c r="E290" i="9"/>
  <c r="I290" i="9" s="1"/>
  <c r="E490" i="9"/>
  <c r="I490" i="9" s="1"/>
  <c r="E595" i="9"/>
  <c r="I595" i="9" s="1"/>
  <c r="E671" i="9"/>
  <c r="I671" i="9" s="1"/>
  <c r="E474" i="9"/>
  <c r="I474" i="9" s="1"/>
  <c r="E182" i="9"/>
  <c r="I182" i="9" s="1"/>
  <c r="E295" i="9"/>
  <c r="I295" i="9" s="1"/>
  <c r="E236" i="9"/>
  <c r="I236" i="9" s="1"/>
  <c r="E68" i="9"/>
  <c r="I68" i="9" s="1"/>
  <c r="E444" i="9"/>
  <c r="I444" i="9" s="1"/>
  <c r="E608" i="9"/>
  <c r="I608" i="9" s="1"/>
  <c r="E87" i="9"/>
  <c r="I87" i="9" s="1"/>
  <c r="E230" i="9"/>
  <c r="I230" i="9" s="1"/>
  <c r="E527" i="9"/>
  <c r="I527" i="9" s="1"/>
  <c r="E78" i="9"/>
  <c r="I78" i="9" s="1"/>
  <c r="E337" i="9"/>
  <c r="I337" i="9" s="1"/>
  <c r="E551" i="9"/>
  <c r="I551" i="9" s="1"/>
  <c r="E14" i="9"/>
  <c r="I14" i="9" s="1"/>
  <c r="E571" i="9"/>
  <c r="I571" i="9" s="1"/>
  <c r="E269" i="9"/>
  <c r="I269" i="9" s="1"/>
  <c r="E74" i="9"/>
  <c r="I74" i="9" s="1"/>
  <c r="E370" i="9"/>
  <c r="I370" i="9" s="1"/>
  <c r="E418" i="9"/>
  <c r="I418" i="9" s="1"/>
  <c r="E538" i="9"/>
  <c r="I538" i="9" s="1"/>
  <c r="E482" i="9"/>
  <c r="I482" i="9" s="1"/>
  <c r="E54" i="9"/>
  <c r="I54" i="9" s="1"/>
  <c r="E634" i="9"/>
  <c r="I634" i="9" s="1"/>
  <c r="E69" i="9"/>
  <c r="I69" i="9" s="1"/>
  <c r="E515" i="9"/>
  <c r="I515" i="9" s="1"/>
  <c r="E88" i="9"/>
  <c r="I88" i="9" s="1"/>
  <c r="E412" i="9"/>
  <c r="I412" i="9" s="1"/>
  <c r="E330" i="9"/>
  <c r="I330" i="9" s="1"/>
  <c r="E306" i="9"/>
  <c r="I306" i="9" s="1"/>
  <c r="E651" i="9"/>
  <c r="I651" i="9" s="1"/>
  <c r="E531" i="9"/>
  <c r="I531" i="9" s="1"/>
  <c r="E195" i="9"/>
  <c r="I195" i="9" s="1"/>
  <c r="E43" i="9"/>
  <c r="I43" i="9" s="1"/>
  <c r="E119" i="9"/>
  <c r="I119" i="9" s="1"/>
  <c r="E80" i="9"/>
  <c r="I80" i="9" s="1"/>
  <c r="E52" i="9"/>
  <c r="I52" i="9" s="1"/>
  <c r="E639" i="9"/>
  <c r="I639" i="9" s="1"/>
  <c r="E159" i="9"/>
  <c r="I159" i="9" s="1"/>
  <c r="E475" i="9"/>
  <c r="I475" i="9" s="1"/>
  <c r="E132" i="9"/>
  <c r="I132" i="9" s="1"/>
  <c r="E679" i="9"/>
  <c r="I679" i="9" s="1"/>
  <c r="E48" i="9"/>
  <c r="I48" i="9" s="1"/>
  <c r="E366" i="9"/>
  <c r="I366" i="9" s="1"/>
  <c r="E117" i="9"/>
  <c r="I117" i="9" s="1"/>
  <c r="E196" i="9"/>
  <c r="I196" i="9" s="1"/>
  <c r="E479" i="9"/>
  <c r="I479" i="9" s="1"/>
  <c r="E468" i="9"/>
  <c r="I468" i="9" s="1"/>
  <c r="E277" i="9"/>
  <c r="I277" i="9" s="1"/>
  <c r="E376" i="9"/>
  <c r="I376" i="9" s="1"/>
  <c r="E163" i="9"/>
  <c r="I163" i="9" s="1"/>
  <c r="E11" i="9"/>
  <c r="I11" i="9" s="1"/>
  <c r="E314" i="9"/>
  <c r="I314" i="9" s="1"/>
  <c r="E7" i="9"/>
  <c r="I7" i="9" s="1"/>
  <c r="E12" i="9"/>
  <c r="I12" i="9" s="1"/>
  <c r="E274" i="9"/>
  <c r="I274" i="9" s="1"/>
  <c r="E582" i="9"/>
  <c r="I582" i="9" s="1"/>
  <c r="E307" i="9"/>
  <c r="I307" i="9" s="1"/>
  <c r="E663" i="9"/>
  <c r="I663" i="9" s="1"/>
  <c r="E24" i="9"/>
  <c r="I24" i="9" s="1"/>
  <c r="E56" i="9"/>
  <c r="I56" i="9" s="1"/>
  <c r="E255" i="9"/>
  <c r="I255" i="9" s="1"/>
  <c r="E334" i="9"/>
  <c r="I334" i="9" s="1"/>
  <c r="E181" i="9"/>
  <c r="I181" i="9" s="1"/>
  <c r="E353" i="9"/>
  <c r="I353" i="9" s="1"/>
  <c r="E130" i="9"/>
  <c r="I130" i="9" s="1"/>
  <c r="E458" i="9"/>
  <c r="I458" i="9" s="1"/>
  <c r="E242" i="9"/>
  <c r="I242" i="9" s="1"/>
  <c r="E395" i="9"/>
  <c r="I395" i="9" s="1"/>
  <c r="E19" i="9"/>
  <c r="I19" i="9" s="1"/>
  <c r="E226" i="9"/>
  <c r="I226" i="9" s="1"/>
  <c r="E156" i="9"/>
  <c r="I156" i="9" s="1"/>
  <c r="E98" i="9"/>
  <c r="I98" i="9" s="1"/>
  <c r="E567" i="9"/>
  <c r="I567" i="9" s="1"/>
  <c r="E324" i="9"/>
  <c r="I324" i="9" s="1"/>
  <c r="E243" i="9"/>
  <c r="I243" i="9" s="1"/>
  <c r="E204" i="9"/>
  <c r="I204" i="9" s="1"/>
  <c r="E555" i="9"/>
  <c r="I555" i="9" s="1"/>
  <c r="E666" i="9"/>
  <c r="I666" i="9" s="1"/>
  <c r="E442" i="9"/>
  <c r="I442" i="9" s="1"/>
  <c r="E335" i="9"/>
  <c r="I335" i="9" s="1"/>
  <c r="E599" i="9"/>
  <c r="I599" i="9" s="1"/>
  <c r="E660" i="9"/>
  <c r="I660" i="9" s="1"/>
  <c r="E241" i="9"/>
  <c r="I241" i="9" s="1"/>
  <c r="E445" i="9"/>
  <c r="I445" i="9" s="1"/>
  <c r="E20" i="9"/>
  <c r="I20" i="9" s="1"/>
  <c r="E623" i="9"/>
  <c r="I623" i="9" s="1"/>
  <c r="E448" i="9"/>
  <c r="I448" i="9" s="1"/>
  <c r="E463" i="9"/>
  <c r="I463" i="9" s="1"/>
  <c r="E140" i="9"/>
  <c r="I140" i="9" s="1"/>
  <c r="E192" i="9"/>
  <c r="I192" i="9" s="1"/>
  <c r="E484" i="9"/>
  <c r="I484" i="9" s="1"/>
  <c r="E279" i="9"/>
  <c r="I279" i="9" s="1"/>
  <c r="E388" i="9"/>
  <c r="I388" i="9" s="1"/>
  <c r="E201" i="9"/>
  <c r="I201" i="9" s="1"/>
  <c r="E85" i="9"/>
  <c r="I85" i="9" s="1"/>
  <c r="E175" i="9"/>
  <c r="I175" i="9" s="1"/>
  <c r="E30" i="9"/>
  <c r="I30" i="9" s="1"/>
  <c r="E166" i="9"/>
  <c r="I166" i="9" s="1"/>
  <c r="E569" i="9"/>
  <c r="I569" i="9" s="1"/>
  <c r="E432" i="9"/>
  <c r="I432" i="9" s="1"/>
  <c r="E253" i="9"/>
  <c r="I253" i="9" s="1"/>
  <c r="E712" i="9"/>
  <c r="I712" i="9" s="1"/>
  <c r="E503" i="9"/>
  <c r="I503" i="9" s="1"/>
  <c r="E174" i="9"/>
  <c r="I174" i="9" s="1"/>
  <c r="E435" i="9"/>
  <c r="I435" i="9" s="1"/>
  <c r="E260" i="9"/>
  <c r="I260" i="9" s="1"/>
  <c r="E507" i="9"/>
  <c r="I507" i="9" s="1"/>
  <c r="E304" i="9"/>
  <c r="I304" i="9" s="1"/>
  <c r="E575" i="9"/>
  <c r="I575" i="9" s="1"/>
  <c r="E28" i="9"/>
  <c r="I28" i="9" s="1"/>
  <c r="E231" i="9"/>
  <c r="I231" i="9" s="1"/>
  <c r="E133" i="9"/>
  <c r="I133" i="9" s="1"/>
  <c r="E142" i="9"/>
  <c r="I142" i="9" s="1"/>
  <c r="E642" i="9"/>
  <c r="I642" i="9" s="1"/>
  <c r="E219" i="9"/>
  <c r="I219" i="9" s="1"/>
  <c r="E502" i="9"/>
  <c r="I502" i="9" s="1"/>
  <c r="E240" i="9"/>
  <c r="I240" i="9" s="1"/>
  <c r="E176" i="9"/>
  <c r="I176" i="9" s="1"/>
  <c r="E709" i="9"/>
  <c r="I709" i="9" s="1"/>
  <c r="E593" i="9"/>
  <c r="I593" i="9" s="1"/>
  <c r="E315" i="9"/>
  <c r="I315" i="9" s="1"/>
  <c r="E631" i="9"/>
  <c r="I631" i="9" s="1"/>
  <c r="E604" i="9"/>
  <c r="I604" i="9" s="1"/>
  <c r="E554" i="9"/>
  <c r="I554" i="9" s="1"/>
  <c r="E447" i="9"/>
  <c r="I447" i="9" s="1"/>
  <c r="E135" i="9"/>
  <c r="I135" i="9" s="1"/>
  <c r="E629" i="9"/>
  <c r="I629" i="9" s="1"/>
  <c r="E672" i="9"/>
  <c r="I672" i="9" s="1"/>
  <c r="E146" i="9"/>
  <c r="I146" i="9" s="1"/>
  <c r="E252" i="9"/>
  <c r="I252" i="9" s="1"/>
  <c r="E207" i="9"/>
  <c r="I207" i="9" s="1"/>
  <c r="E16" i="9"/>
  <c r="I16" i="9" s="1"/>
  <c r="E404" i="9"/>
  <c r="I404" i="9" s="1"/>
  <c r="E235" i="9"/>
  <c r="I235" i="9" s="1"/>
  <c r="E70" i="9"/>
  <c r="I70" i="9" s="1"/>
  <c r="E606" i="9"/>
  <c r="I606" i="9" s="1"/>
  <c r="E408" i="9"/>
  <c r="I408" i="9" s="1"/>
  <c r="E96" i="9"/>
  <c r="I96" i="9" s="1"/>
  <c r="E450" i="9"/>
  <c r="I450" i="9" s="1"/>
  <c r="E522" i="9"/>
  <c r="I522" i="9" s="1"/>
  <c r="E50" i="9"/>
  <c r="I50" i="9" s="1"/>
  <c r="E75" i="9"/>
  <c r="I75" i="9" s="1"/>
  <c r="E44" i="9"/>
  <c r="I44" i="9" s="1"/>
  <c r="E187" i="9"/>
  <c r="I187" i="9" s="1"/>
  <c r="E26" i="9"/>
  <c r="I26" i="9" s="1"/>
  <c r="E283" i="9"/>
  <c r="I283" i="9" s="1"/>
  <c r="E154" i="9"/>
  <c r="I154" i="9" s="1"/>
  <c r="E602" i="9"/>
  <c r="I602" i="9" s="1"/>
  <c r="E427" i="9"/>
  <c r="I427" i="9" s="1"/>
  <c r="E375" i="9"/>
  <c r="I375" i="9" s="1"/>
  <c r="E682" i="9"/>
  <c r="I682" i="9" s="1"/>
  <c r="E501" i="9"/>
  <c r="I501" i="9" s="1"/>
  <c r="E3" i="9"/>
  <c r="I3" i="9" s="1"/>
  <c r="E410" i="9"/>
  <c r="I410" i="9" s="1"/>
  <c r="E79" i="9"/>
  <c r="I79" i="9" s="1"/>
  <c r="E706" i="9"/>
  <c r="I706" i="9" s="1"/>
  <c r="E391" i="9"/>
  <c r="I391" i="9" s="1"/>
  <c r="E168" i="9"/>
  <c r="I168" i="9" s="1"/>
  <c r="E124" i="9"/>
  <c r="I124" i="9" s="1"/>
  <c r="E288" i="9"/>
  <c r="I288" i="9" s="1"/>
  <c r="E259" i="9"/>
  <c r="I259" i="9" s="1"/>
  <c r="E282" i="9"/>
  <c r="I282" i="9" s="1"/>
  <c r="E343" i="9"/>
  <c r="I343" i="9" s="1"/>
  <c r="E415" i="9"/>
  <c r="I415" i="9" s="1"/>
  <c r="E399" i="9"/>
  <c r="I399" i="9" s="1"/>
  <c r="E278" i="9"/>
  <c r="I278" i="9" s="1"/>
  <c r="E369" i="9"/>
  <c r="I369" i="9" s="1"/>
  <c r="E165" i="9"/>
  <c r="I165" i="9" s="1"/>
  <c r="E577" i="9"/>
  <c r="I577" i="9" s="1"/>
  <c r="E532" i="9"/>
  <c r="I532" i="9" s="1"/>
  <c r="E656" i="9"/>
  <c r="I656" i="9" s="1"/>
  <c r="E262" i="9"/>
  <c r="I262" i="9" s="1"/>
  <c r="E109" i="9"/>
  <c r="I109" i="9" s="1"/>
  <c r="E565" i="9"/>
  <c r="I565" i="9" s="1"/>
  <c r="E470" i="9"/>
  <c r="I470" i="9" s="1"/>
  <c r="E41" i="9"/>
  <c r="I41" i="9" s="1"/>
  <c r="E652" i="9"/>
  <c r="I652" i="9" s="1"/>
  <c r="E84" i="9"/>
  <c r="I84" i="9" s="1"/>
  <c r="E594" i="9"/>
  <c r="I594" i="9" s="1"/>
  <c r="E546" i="9"/>
  <c r="I546" i="9" s="1"/>
  <c r="E55" i="9"/>
  <c r="I55" i="9" s="1"/>
  <c r="E21" i="9"/>
  <c r="I21" i="9" s="1"/>
  <c r="E248" i="9"/>
  <c r="I248" i="9" s="1"/>
  <c r="E425" i="9"/>
  <c r="I425" i="9" s="1"/>
  <c r="E298" i="9"/>
  <c r="I298" i="9" s="1"/>
  <c r="E499" i="9"/>
  <c r="I499" i="9" s="1"/>
  <c r="E591" i="9"/>
  <c r="I591" i="9" s="1"/>
  <c r="E100" i="9"/>
  <c r="I100" i="9" s="1"/>
  <c r="E229" i="9"/>
  <c r="I229" i="9" s="1"/>
  <c r="E719" i="9"/>
  <c r="I719" i="9" s="1"/>
  <c r="E407" i="9"/>
  <c r="I407" i="9" s="1"/>
  <c r="E200" i="9"/>
  <c r="I200" i="9" s="1"/>
  <c r="E403" i="9"/>
  <c r="I403" i="9" s="1"/>
  <c r="E95" i="9"/>
  <c r="I95" i="9" s="1"/>
  <c r="E351" i="9"/>
  <c r="I351" i="9" s="1"/>
  <c r="E690" i="9"/>
  <c r="I690" i="9" s="1"/>
  <c r="E607" i="9"/>
  <c r="I607" i="9" s="1"/>
  <c r="E297" i="9"/>
  <c r="I297" i="9" s="1"/>
  <c r="E53" i="9"/>
  <c r="I53" i="9" s="1"/>
  <c r="E261" i="9"/>
  <c r="I261" i="9" s="1"/>
  <c r="E8" i="9"/>
  <c r="I8" i="9" s="1"/>
  <c r="E152" i="9"/>
  <c r="I152" i="9" s="1"/>
  <c r="E579" i="9"/>
  <c r="I579" i="9" s="1"/>
  <c r="E271" i="9"/>
  <c r="I271" i="9" s="1"/>
  <c r="E696" i="9"/>
  <c r="I696" i="9" s="1"/>
  <c r="E472" i="9"/>
  <c r="I472" i="9" s="1"/>
  <c r="E112" i="9"/>
  <c r="I112" i="9" s="1"/>
  <c r="E33" i="9"/>
  <c r="I33" i="9" s="1"/>
  <c r="L62" i="10"/>
  <c r="M62" i="10" s="1"/>
  <c r="E374" i="9"/>
  <c r="I374" i="9" s="1"/>
  <c r="E258" i="9"/>
  <c r="I258" i="9" s="1"/>
  <c r="E394" i="9"/>
  <c r="I394" i="9" s="1"/>
  <c r="E355" i="9"/>
  <c r="I355" i="9" s="1"/>
  <c r="E562" i="9"/>
  <c r="I562" i="9" s="1"/>
  <c r="E587" i="9"/>
  <c r="I587" i="9" s="1"/>
  <c r="E610" i="9"/>
  <c r="I610" i="9" s="1"/>
  <c r="E148" i="9"/>
  <c r="I148" i="9" s="1"/>
  <c r="E115" i="9"/>
  <c r="I115" i="9" s="1"/>
  <c r="E220" i="9"/>
  <c r="I220" i="9" s="1"/>
  <c r="E210" i="9"/>
  <c r="I210" i="9" s="1"/>
  <c r="E211" i="9"/>
  <c r="I211" i="9" s="1"/>
  <c r="E183" i="9"/>
  <c r="I183" i="9" s="1"/>
  <c r="E377" i="9"/>
  <c r="I377" i="9" s="1"/>
  <c r="E296" i="9"/>
  <c r="I296" i="9" s="1"/>
  <c r="E82" i="9"/>
  <c r="I82" i="9" s="1"/>
  <c r="E179" i="9"/>
  <c r="I179" i="9" s="1"/>
  <c r="E172" i="9"/>
  <c r="I172" i="9" s="1"/>
  <c r="E365" i="9"/>
  <c r="I365" i="9" s="1"/>
  <c r="E47" i="9"/>
  <c r="I47" i="9" s="1"/>
  <c r="E198" i="9"/>
  <c r="I198" i="9" s="1"/>
  <c r="E578" i="9"/>
  <c r="I578" i="9" s="1"/>
  <c r="E655" i="9"/>
  <c r="I655" i="9" s="1"/>
  <c r="E424" i="9"/>
  <c r="I424" i="9" s="1"/>
  <c r="E67" i="9"/>
  <c r="I67" i="9" s="1"/>
  <c r="E111" i="9"/>
  <c r="I111" i="9" s="1"/>
  <c r="E563" i="9"/>
  <c r="I563" i="9" s="1"/>
  <c r="E23" i="9"/>
  <c r="I23" i="9" s="1"/>
  <c r="E6" i="9"/>
  <c r="I6" i="9" s="1"/>
  <c r="E265" i="9"/>
  <c r="I265" i="9" s="1"/>
  <c r="E199" i="9"/>
  <c r="I199" i="9" s="1"/>
  <c r="E714" i="9"/>
  <c r="I714" i="9" s="1"/>
  <c r="E495" i="9"/>
  <c r="I495" i="9" s="1"/>
  <c r="E285" i="9"/>
  <c r="I285" i="9" s="1"/>
  <c r="E289" i="9"/>
  <c r="I289" i="9" s="1"/>
  <c r="E392" i="9"/>
  <c r="I392" i="9" s="1"/>
  <c r="E193" i="9"/>
  <c r="I193" i="9" s="1"/>
  <c r="E9" i="9"/>
  <c r="I9" i="9" s="1"/>
  <c r="E441" i="9"/>
  <c r="I441" i="9" s="1"/>
  <c r="E157" i="9"/>
  <c r="I157" i="9" s="1"/>
  <c r="E151" i="9"/>
  <c r="I151" i="9" s="1"/>
  <c r="E101" i="9"/>
  <c r="I101" i="9" s="1"/>
  <c r="E131" i="9"/>
  <c r="I131" i="9" s="1"/>
  <c r="E215" i="9"/>
  <c r="I215" i="9" s="1"/>
  <c r="E390" i="9"/>
  <c r="I390" i="9" s="1"/>
  <c r="E126" i="9"/>
  <c r="I126" i="9" s="1"/>
  <c r="E155" i="9"/>
  <c r="I155" i="9" s="1"/>
  <c r="E239" i="9"/>
  <c r="I239" i="9" s="1"/>
  <c r="E416" i="9"/>
  <c r="I416" i="9" s="1"/>
  <c r="E158" i="9"/>
  <c r="I158" i="9" s="1"/>
  <c r="E188" i="9"/>
  <c r="I188" i="9" s="1"/>
  <c r="E659" i="9"/>
  <c r="I659" i="9" s="1"/>
  <c r="E362" i="9"/>
  <c r="I362" i="9" s="1"/>
  <c r="E299" i="9"/>
  <c r="I299" i="9" s="1"/>
  <c r="E116" i="9"/>
  <c r="I116" i="9" s="1"/>
  <c r="E326" i="9"/>
  <c r="I326" i="9" s="1"/>
  <c r="E535" i="9"/>
  <c r="I535" i="9" s="1"/>
  <c r="E340" i="9"/>
  <c r="I340" i="9" s="1"/>
  <c r="E476" i="9"/>
  <c r="I476" i="9" s="1"/>
  <c r="E588" i="9"/>
  <c r="I588" i="9" s="1"/>
  <c r="E352" i="9"/>
  <c r="I352" i="9" s="1"/>
  <c r="E621" i="9"/>
  <c r="I621" i="9" s="1"/>
  <c r="E246" i="9"/>
  <c r="I246" i="9" s="1"/>
  <c r="E37" i="9"/>
  <c r="I37" i="9" s="1"/>
  <c r="E118" i="9"/>
  <c r="I118" i="9" s="1"/>
  <c r="E526" i="9"/>
  <c r="I526" i="9" s="1"/>
  <c r="E184" i="9"/>
  <c r="I184" i="9" s="1"/>
  <c r="E5" i="9"/>
  <c r="I5" i="9" s="1"/>
  <c r="E134" i="9"/>
  <c r="I134" i="9" s="1"/>
  <c r="E561" i="9"/>
  <c r="I561" i="9" s="1"/>
  <c r="E576" i="9"/>
  <c r="I576" i="9" s="1"/>
  <c r="E453" i="9"/>
  <c r="I453" i="9" s="1"/>
  <c r="E556" i="9"/>
  <c r="I556" i="9" s="1"/>
  <c r="E628" i="9"/>
  <c r="I628" i="9" s="1"/>
  <c r="E512" i="9"/>
  <c r="I512" i="9" s="1"/>
  <c r="E617" i="9"/>
  <c r="I617" i="9" s="1"/>
  <c r="L28" i="10"/>
  <c r="M28" i="10" s="1"/>
  <c r="E138" i="9"/>
  <c r="I138" i="9" s="1"/>
  <c r="E650" i="9"/>
  <c r="I650" i="9" s="1"/>
  <c r="E483" i="9"/>
  <c r="I483" i="9" s="1"/>
  <c r="E498" i="9"/>
  <c r="I498" i="9" s="1"/>
  <c r="E331" i="9"/>
  <c r="I331" i="9" s="1"/>
  <c r="E18" i="9"/>
  <c r="I18" i="9" s="1"/>
  <c r="E107" i="9"/>
  <c r="I107" i="9" s="1"/>
  <c r="E76" i="9"/>
  <c r="I76" i="9" s="1"/>
  <c r="E426" i="9"/>
  <c r="I426" i="9" s="1"/>
  <c r="E451" i="9"/>
  <c r="I451" i="9" s="1"/>
  <c r="E42" i="9"/>
  <c r="I42" i="9" s="1"/>
  <c r="E58" i="9"/>
  <c r="I58" i="9" s="1"/>
  <c r="E402" i="9"/>
  <c r="I402" i="9" s="1"/>
  <c r="E635" i="9"/>
  <c r="I635" i="9" s="1"/>
  <c r="E311" i="9"/>
  <c r="I311" i="9" s="1"/>
  <c r="E276" i="9"/>
  <c r="I276" i="9" s="1"/>
  <c r="E120" i="9"/>
  <c r="I120" i="9" s="1"/>
  <c r="E695" i="9"/>
  <c r="I695" i="9" s="1"/>
  <c r="E506" i="9"/>
  <c r="I506" i="9" s="1"/>
  <c r="E59" i="9"/>
  <c r="I59" i="9" s="1"/>
  <c r="E379" i="9"/>
  <c r="I379" i="9" s="1"/>
  <c r="E223" i="9"/>
  <c r="I223" i="9" s="1"/>
  <c r="E245" i="9"/>
  <c r="I245" i="9" s="1"/>
  <c r="E339" i="9"/>
  <c r="I339" i="9" s="1"/>
  <c r="E303" i="9"/>
  <c r="I303" i="9" s="1"/>
  <c r="E518" i="9"/>
  <c r="I518" i="9" s="1"/>
  <c r="E270" i="9"/>
  <c r="I270" i="9" s="1"/>
  <c r="E387" i="9"/>
  <c r="I387" i="9" s="1"/>
  <c r="E327" i="9"/>
  <c r="I327" i="9" s="1"/>
  <c r="E544" i="9"/>
  <c r="I544" i="9" s="1"/>
  <c r="E309" i="9"/>
  <c r="I309" i="9" s="1"/>
  <c r="E63" i="9"/>
  <c r="I63" i="9" s="1"/>
  <c r="E180" i="9"/>
  <c r="I180" i="9" s="1"/>
  <c r="E251" i="9"/>
  <c r="I251" i="9" s="1"/>
  <c r="E627" i="9"/>
  <c r="I627" i="9" s="1"/>
  <c r="E39" i="9"/>
  <c r="I39" i="9" s="1"/>
  <c r="E505" i="9"/>
  <c r="I505" i="9" s="1"/>
  <c r="E347" i="9"/>
  <c r="I347" i="9" s="1"/>
  <c r="E557" i="9"/>
  <c r="I557" i="9" s="1"/>
  <c r="E616" i="9"/>
  <c r="I616" i="9" s="1"/>
  <c r="E707" i="9"/>
  <c r="I707" i="9" s="1"/>
  <c r="E596" i="9"/>
  <c r="I596" i="9" s="1"/>
  <c r="E491" i="9"/>
  <c r="I491" i="9" s="1"/>
  <c r="E136" i="9"/>
  <c r="I136" i="9" s="1"/>
  <c r="E454" i="9"/>
  <c r="I454" i="9" s="1"/>
  <c r="E36" i="9"/>
  <c r="I36" i="9" s="1"/>
  <c r="E128" i="9"/>
  <c r="I128" i="9" s="1"/>
  <c r="E190" i="9"/>
  <c r="I190" i="9" s="1"/>
  <c r="E150" i="9"/>
  <c r="I150" i="9" s="1"/>
  <c r="E224" i="9"/>
  <c r="I224" i="9" s="1"/>
  <c r="E329" i="9"/>
  <c r="I329" i="9" s="1"/>
  <c r="E597" i="9"/>
  <c r="I597" i="9" s="1"/>
  <c r="E486" i="9"/>
  <c r="I486" i="9" s="1"/>
  <c r="E524" i="9"/>
  <c r="I524" i="9" s="1"/>
  <c r="E393" i="9"/>
  <c r="I393" i="9" s="1"/>
  <c r="E630" i="9"/>
  <c r="I630" i="9" s="1"/>
  <c r="E169" i="9"/>
  <c r="I169" i="9" s="1"/>
  <c r="L11" i="10"/>
  <c r="M11" i="10" s="1"/>
  <c r="E322" i="9"/>
  <c r="I322" i="9" s="1"/>
  <c r="E266" i="9"/>
  <c r="I266" i="9" s="1"/>
  <c r="E99" i="9"/>
  <c r="I99" i="9" s="1"/>
  <c r="E114" i="9"/>
  <c r="I114" i="9" s="1"/>
  <c r="E626" i="9"/>
  <c r="I626" i="9" s="1"/>
  <c r="E459" i="9"/>
  <c r="I459" i="9" s="1"/>
  <c r="E218" i="9"/>
  <c r="I218" i="9" s="1"/>
  <c r="E275" i="9"/>
  <c r="I275" i="9" s="1"/>
  <c r="E212" i="9"/>
  <c r="I212" i="9" s="1"/>
  <c r="E618" i="9"/>
  <c r="I618" i="9" s="1"/>
  <c r="E611" i="9"/>
  <c r="I611" i="9" s="1"/>
  <c r="E34" i="9"/>
  <c r="I34" i="9" s="1"/>
  <c r="E354" i="9"/>
  <c r="I354" i="9" s="1"/>
  <c r="E658" i="9"/>
  <c r="I658" i="9" s="1"/>
  <c r="E164" i="9"/>
  <c r="I164" i="9" s="1"/>
  <c r="E439" i="9"/>
  <c r="I439" i="9" s="1"/>
  <c r="E480" i="9"/>
  <c r="I480" i="9" s="1"/>
  <c r="E46" i="9"/>
  <c r="I46" i="9" s="1"/>
  <c r="E208" i="9"/>
  <c r="I208" i="9" s="1"/>
  <c r="E171" i="9"/>
  <c r="I171" i="9" s="1"/>
  <c r="E323" i="9"/>
  <c r="I323" i="9" s="1"/>
  <c r="E619" i="9"/>
  <c r="I619" i="9" s="1"/>
  <c r="E367" i="9"/>
  <c r="I367" i="9" s="1"/>
  <c r="E493" i="9"/>
  <c r="I493" i="9" s="1"/>
  <c r="E643" i="9"/>
  <c r="I643" i="9" s="1"/>
  <c r="E471" i="9"/>
  <c r="I471" i="9" s="1"/>
  <c r="E38" i="9"/>
  <c r="I38" i="9" s="1"/>
  <c r="E513" i="9"/>
  <c r="I513" i="9" s="1"/>
  <c r="E667" i="9"/>
  <c r="I667" i="9" s="1"/>
  <c r="E487" i="9"/>
  <c r="I487" i="9" s="1"/>
  <c r="E86" i="9"/>
  <c r="I86" i="9" s="1"/>
  <c r="E234" i="9"/>
  <c r="I234" i="9" s="1"/>
  <c r="E91" i="9"/>
  <c r="I91" i="9" s="1"/>
  <c r="E147" i="9"/>
  <c r="I147" i="9" s="1"/>
  <c r="E228" i="9"/>
  <c r="I228" i="9" s="1"/>
  <c r="E127" i="9"/>
  <c r="I127" i="9" s="1"/>
  <c r="E287" i="9"/>
  <c r="I287" i="9" s="1"/>
  <c r="E466" i="9"/>
  <c r="I466" i="9" s="1"/>
  <c r="E167" i="9"/>
  <c r="I167" i="9" s="1"/>
  <c r="E214" i="9"/>
  <c r="I214" i="9" s="1"/>
  <c r="E160" i="9"/>
  <c r="I160" i="9" s="1"/>
  <c r="E570" i="9"/>
  <c r="I570" i="9" s="1"/>
  <c r="E92" i="9"/>
  <c r="I92" i="9" s="1"/>
  <c r="E319" i="9"/>
  <c r="I319" i="9" s="1"/>
  <c r="E437" i="9"/>
  <c r="I437" i="9" s="1"/>
  <c r="E264" i="9"/>
  <c r="I264" i="9" s="1"/>
  <c r="E301" i="9"/>
  <c r="I301" i="9" s="1"/>
  <c r="E328" i="9"/>
  <c r="I328" i="9" s="1"/>
  <c r="E641" i="9"/>
  <c r="I641" i="9" s="1"/>
  <c r="E31" i="9"/>
  <c r="I31" i="9" s="1"/>
  <c r="E300" i="9"/>
  <c r="I300" i="9" s="1"/>
  <c r="E256" i="9"/>
  <c r="I256" i="9" s="1"/>
  <c r="E373" i="9"/>
  <c r="I373" i="9" s="1"/>
  <c r="E590" i="9"/>
  <c r="I590" i="9" s="1"/>
  <c r="E205" i="9"/>
  <c r="I205" i="9" s="1"/>
  <c r="E469" i="9"/>
  <c r="I469" i="9" s="1"/>
  <c r="E717" i="9"/>
  <c r="I717" i="9" s="1"/>
  <c r="E504" i="9"/>
  <c r="I504" i="9" s="1"/>
  <c r="E423" i="9"/>
  <c r="I423" i="9" s="1"/>
  <c r="E431" i="9"/>
  <c r="I431" i="9" s="1"/>
  <c r="E511" i="9"/>
  <c r="I511" i="9" s="1"/>
  <c r="E238" i="9"/>
  <c r="I238" i="9" s="1"/>
  <c r="E102" i="9"/>
  <c r="I102" i="9" s="1"/>
  <c r="E40" i="9"/>
  <c r="I40" i="9" s="1"/>
  <c r="E321" i="9"/>
  <c r="I321" i="9" s="1"/>
  <c r="E383" i="9"/>
  <c r="I383" i="9" s="1"/>
  <c r="E633" i="9"/>
  <c r="I633" i="9" s="1"/>
  <c r="E284" i="9"/>
  <c r="I284" i="9" s="1"/>
  <c r="E520" i="9"/>
  <c r="I520" i="9" s="1"/>
  <c r="E32" i="9"/>
  <c r="I32" i="9" s="1"/>
  <c r="E409" i="9"/>
  <c r="I409" i="9" s="1"/>
  <c r="E456" i="9"/>
  <c r="I456" i="9" s="1"/>
  <c r="E528" i="9"/>
  <c r="I528" i="9" s="1"/>
  <c r="E605" i="9"/>
  <c r="I605" i="9" s="1"/>
  <c r="E364" i="9"/>
  <c r="I364" i="9" s="1"/>
  <c r="E417" i="9"/>
  <c r="I417" i="9" s="1"/>
  <c r="E406" i="9"/>
  <c r="I406" i="9" s="1"/>
  <c r="L6" i="10"/>
  <c r="M6" i="10" s="1"/>
  <c r="E485" i="9"/>
  <c r="I485" i="9" s="1"/>
  <c r="E72" i="9"/>
  <c r="I72" i="9" s="1"/>
  <c r="E473" i="9"/>
  <c r="I473" i="9" s="1"/>
  <c r="E521" i="9"/>
  <c r="I521" i="9" s="1"/>
  <c r="E263" i="9"/>
  <c r="I263" i="9" s="1"/>
  <c r="E62" i="9"/>
  <c r="I62" i="9" s="1"/>
  <c r="E110" i="9"/>
  <c r="I110" i="9" s="1"/>
  <c r="E525" i="9"/>
  <c r="I525" i="9" s="1"/>
  <c r="E345" i="9"/>
  <c r="I345" i="9" s="1"/>
  <c r="E698" i="9"/>
  <c r="I698" i="9" s="1"/>
  <c r="E710" i="9"/>
  <c r="I710" i="9" s="1"/>
  <c r="E73" i="9"/>
  <c r="I73" i="9" s="1"/>
  <c r="E584" i="9"/>
  <c r="I584" i="9" s="1"/>
  <c r="E357" i="9"/>
  <c r="I357" i="9" s="1"/>
  <c r="E144" i="9"/>
  <c r="I144" i="9" s="1"/>
  <c r="E325" i="9"/>
  <c r="I325" i="9" s="1"/>
  <c r="E620" i="9"/>
  <c r="I620" i="9" s="1"/>
  <c r="L19" i="10"/>
  <c r="M19" i="10" s="1"/>
  <c r="E103" i="9"/>
  <c r="I103" i="9" s="1"/>
  <c r="E143" i="9"/>
  <c r="I143" i="9" s="1"/>
  <c r="E615" i="9"/>
  <c r="I615" i="9" s="1"/>
  <c r="E678" i="9"/>
  <c r="I678" i="9" s="1"/>
  <c r="E411" i="9"/>
  <c r="I411" i="9" s="1"/>
  <c r="E455" i="9"/>
  <c r="I455" i="9" s="1"/>
  <c r="E197" i="9"/>
  <c r="I197" i="9" s="1"/>
  <c r="E647" i="9"/>
  <c r="I647" i="9" s="1"/>
  <c r="E685" i="9"/>
  <c r="I685" i="9" s="1"/>
  <c r="E273" i="9"/>
  <c r="I273" i="9" s="1"/>
  <c r="E640" i="9"/>
  <c r="I640" i="9" s="1"/>
  <c r="E292" i="9"/>
  <c r="I292" i="9" s="1"/>
  <c r="E494" i="9"/>
  <c r="I494" i="9" s="1"/>
  <c r="E708" i="9"/>
  <c r="I708" i="9" s="1"/>
  <c r="E692" i="9"/>
  <c r="I692" i="9" s="1"/>
  <c r="E657" i="9"/>
  <c r="I657" i="9" s="1"/>
  <c r="E25" i="9"/>
  <c r="I25" i="9" s="1"/>
  <c r="E433" i="9"/>
  <c r="I433" i="9" s="1"/>
  <c r="E45" i="9"/>
  <c r="I45" i="9" s="1"/>
  <c r="E173" i="9"/>
  <c r="I173" i="9" s="1"/>
  <c r="E401" i="9"/>
  <c r="I401" i="9" s="1"/>
  <c r="E654" i="9"/>
  <c r="I654" i="9" s="1"/>
  <c r="L57" i="10"/>
  <c r="M57" i="10" s="1"/>
  <c r="E368" i="9"/>
  <c r="I368" i="9" s="1"/>
  <c r="E540" i="9"/>
  <c r="I540" i="9" s="1"/>
  <c r="E217" i="9"/>
  <c r="I217" i="9" s="1"/>
  <c r="E460" i="9"/>
  <c r="I460" i="9" s="1"/>
  <c r="E129" i="9"/>
  <c r="I129" i="9" s="1"/>
  <c r="E381" i="9"/>
  <c r="I381" i="9" s="1"/>
  <c r="E477" i="9"/>
  <c r="I477" i="9" s="1"/>
  <c r="L24" i="10"/>
  <c r="M24" i="10" s="1"/>
  <c r="L56" i="10"/>
  <c r="M56" i="10" s="1"/>
  <c r="E564" i="9"/>
  <c r="I564" i="9" s="1"/>
  <c r="E305" i="9"/>
  <c r="I305" i="9" s="1"/>
  <c r="E185" i="9"/>
  <c r="I185" i="9" s="1"/>
  <c r="E573" i="9"/>
  <c r="I573" i="9" s="1"/>
  <c r="E81" i="9"/>
  <c r="I81" i="9" s="1"/>
  <c r="E281" i="9"/>
  <c r="I281" i="9" s="1"/>
  <c r="E384" i="9"/>
  <c r="I384" i="9" s="1"/>
  <c r="E478" i="9"/>
  <c r="I478" i="9" s="1"/>
  <c r="L29" i="10"/>
  <c r="M29" i="10" s="1"/>
  <c r="E232" i="9"/>
  <c r="I232" i="9" s="1"/>
  <c r="E462" i="9"/>
  <c r="I462" i="9" s="1"/>
  <c r="E508" i="9"/>
  <c r="I508" i="9" s="1"/>
  <c r="E206" i="9"/>
  <c r="I206" i="9" s="1"/>
  <c r="E541" i="9"/>
  <c r="I541" i="9" s="1"/>
  <c r="E668" i="9"/>
  <c r="I668" i="9" s="1"/>
  <c r="E280" i="9"/>
  <c r="I280" i="9" s="1"/>
  <c r="E430" i="9"/>
  <c r="I430" i="9" s="1"/>
  <c r="E308" i="9"/>
  <c r="I308" i="9" s="1"/>
  <c r="E449" i="9"/>
  <c r="I449" i="9" s="1"/>
  <c r="E440" i="9"/>
  <c r="I440" i="9" s="1"/>
  <c r="E161" i="9"/>
  <c r="I161" i="9" s="1"/>
  <c r="E699" i="9"/>
  <c r="I699" i="9" s="1"/>
  <c r="E581" i="9"/>
  <c r="I581" i="9" s="1"/>
  <c r="E632" i="9"/>
  <c r="I632" i="9" s="1"/>
  <c r="E342" i="9"/>
  <c r="I342" i="9" s="1"/>
  <c r="E89" i="9"/>
  <c r="I89" i="9" s="1"/>
  <c r="E716" i="9"/>
  <c r="I716" i="9" s="1"/>
  <c r="E137" i="9"/>
  <c r="I137" i="9" s="1"/>
  <c r="L94" i="10"/>
  <c r="M94" i="10" s="1"/>
  <c r="L47" i="10"/>
  <c r="M47" i="10" s="1"/>
  <c r="E22" i="9"/>
  <c r="I22" i="9" s="1"/>
  <c r="E653" i="9"/>
  <c r="I653" i="9" s="1"/>
  <c r="E481" i="9"/>
  <c r="I481" i="9" s="1"/>
  <c r="E592" i="9"/>
  <c r="I592" i="9" s="1"/>
  <c r="E636" i="9"/>
  <c r="I636" i="9" s="1"/>
  <c r="E141" i="9"/>
  <c r="I141" i="9" s="1"/>
  <c r="E537" i="9"/>
  <c r="I537" i="9" s="1"/>
  <c r="L39" i="10"/>
  <c r="M39" i="10" s="1"/>
  <c r="L63" i="10"/>
  <c r="M63" i="10" s="1"/>
  <c r="E396" i="9"/>
  <c r="I396" i="9" s="1"/>
  <c r="E125" i="9"/>
  <c r="I125" i="9" s="1"/>
  <c r="E77" i="9"/>
  <c r="I77" i="9" s="1"/>
  <c r="E497" i="9"/>
  <c r="I497" i="9" s="1"/>
  <c r="E500" i="9"/>
  <c r="I500" i="9" s="1"/>
  <c r="L58" i="10"/>
  <c r="M58" i="10" s="1"/>
  <c r="E488" i="9"/>
  <c r="I488" i="9" s="1"/>
  <c r="E189" i="9"/>
  <c r="I189" i="9" s="1"/>
  <c r="E317" i="9"/>
  <c r="I317" i="9" s="1"/>
  <c r="E638" i="9"/>
  <c r="I638" i="9" s="1"/>
  <c r="E559" i="9"/>
  <c r="I559" i="9" s="1"/>
  <c r="E333" i="9"/>
  <c r="I333" i="9" s="1"/>
  <c r="E421" i="9"/>
  <c r="I421" i="9" s="1"/>
  <c r="E361" i="9"/>
  <c r="I361" i="9" s="1"/>
  <c r="E97" i="9"/>
  <c r="I97" i="9" s="1"/>
  <c r="E661" i="9"/>
  <c r="I661" i="9" s="1"/>
  <c r="E574" i="9"/>
  <c r="I574" i="9" s="1"/>
  <c r="E553" i="9"/>
  <c r="I553" i="9" s="1"/>
  <c r="E645" i="9"/>
  <c r="I645" i="9" s="1"/>
  <c r="E649" i="9"/>
  <c r="I649" i="9" s="1"/>
  <c r="E310" i="9"/>
  <c r="I310" i="9" s="1"/>
  <c r="E17" i="9"/>
  <c r="I17" i="9" s="1"/>
  <c r="E694" i="9"/>
  <c r="I694" i="9" s="1"/>
  <c r="E121" i="9"/>
  <c r="I121" i="9" s="1"/>
  <c r="E177" i="9"/>
  <c r="I177" i="9" s="1"/>
  <c r="E637" i="9"/>
  <c r="I637" i="9" s="1"/>
  <c r="L71" i="10"/>
  <c r="M71" i="10" s="1"/>
  <c r="L91" i="10"/>
  <c r="M91" i="10" s="1"/>
  <c r="E57" i="9"/>
  <c r="I57" i="9" s="1"/>
  <c r="E49" i="9"/>
  <c r="I49" i="9" s="1"/>
  <c r="E414" i="9"/>
  <c r="I414" i="9" s="1"/>
  <c r="E560" i="9"/>
  <c r="I560" i="9" s="1"/>
  <c r="L81" i="10"/>
  <c r="M81" i="10" s="1"/>
  <c r="L16" i="10"/>
  <c r="M16" i="10" s="1"/>
  <c r="L74" i="10"/>
  <c r="M74" i="10" s="1"/>
  <c r="E648" i="9"/>
  <c r="I648" i="9" s="1"/>
  <c r="E320" i="9"/>
  <c r="I320" i="9" s="1"/>
  <c r="E318" i="9"/>
  <c r="I318" i="9" s="1"/>
  <c r="L72" i="10"/>
  <c r="M72" i="10" s="1"/>
  <c r="L15" i="10"/>
  <c r="M15" i="10" s="1"/>
  <c r="E222" i="9"/>
  <c r="I222" i="9" s="1"/>
  <c r="E701" i="9"/>
  <c r="I701" i="9" s="1"/>
  <c r="E558" i="9"/>
  <c r="I558" i="9" s="1"/>
  <c r="E237" i="9"/>
  <c r="I237" i="9" s="1"/>
  <c r="E550" i="9"/>
  <c r="I550" i="9" s="1"/>
  <c r="E465" i="9"/>
  <c r="I465" i="9" s="1"/>
  <c r="E613" i="9"/>
  <c r="I613" i="9" s="1"/>
  <c r="E534" i="9"/>
  <c r="I534" i="9" s="1"/>
  <c r="E457" i="9"/>
  <c r="I457" i="9" s="1"/>
  <c r="E702" i="9"/>
  <c r="I702" i="9" s="1"/>
  <c r="E665" i="9"/>
  <c r="I665" i="9" s="1"/>
  <c r="E420" i="9"/>
  <c r="I420" i="9" s="1"/>
  <c r="E713" i="9"/>
  <c r="I713" i="9" s="1"/>
  <c r="E548" i="9"/>
  <c r="I548" i="9" s="1"/>
  <c r="L73" i="10"/>
  <c r="M73" i="10" s="1"/>
  <c r="L5" i="10"/>
  <c r="M5" i="10" s="1"/>
  <c r="L77" i="10"/>
  <c r="M77" i="10" s="1"/>
  <c r="L90" i="10"/>
  <c r="M90" i="10" s="1"/>
  <c r="E510" i="9"/>
  <c r="I510" i="9" s="1"/>
  <c r="E93" i="9"/>
  <c r="I93" i="9" s="1"/>
  <c r="E216" i="9"/>
  <c r="I216" i="9" s="1"/>
  <c r="E358" i="9"/>
  <c r="I358" i="9" s="1"/>
  <c r="E689" i="9"/>
  <c r="I689" i="9" s="1"/>
  <c r="E233" i="9"/>
  <c r="I233" i="9" s="1"/>
  <c r="E286" i="9"/>
  <c r="I286" i="9" s="1"/>
  <c r="E700" i="9"/>
  <c r="I700" i="9" s="1"/>
  <c r="E691" i="9"/>
  <c r="I691" i="9" s="1"/>
  <c r="E209" i="9"/>
  <c r="I209" i="9" s="1"/>
  <c r="E64" i="9"/>
  <c r="I64" i="9" s="1"/>
  <c r="E446" i="9"/>
  <c r="I446" i="9" s="1"/>
  <c r="E516" i="9"/>
  <c r="I516" i="9" s="1"/>
  <c r="E382" i="9"/>
  <c r="I382" i="9" s="1"/>
  <c r="L87" i="10"/>
  <c r="M87" i="10" s="1"/>
  <c r="L33" i="10"/>
  <c r="M33" i="10" s="1"/>
  <c r="L84" i="10"/>
  <c r="M84" i="10" s="1"/>
  <c r="L83" i="10"/>
  <c r="M83" i="10" s="1"/>
  <c r="L50" i="10"/>
  <c r="M50" i="10" s="1"/>
  <c r="E436" i="9"/>
  <c r="I436" i="9" s="1"/>
  <c r="E601" i="9"/>
  <c r="I601" i="9" s="1"/>
  <c r="E61" i="9"/>
  <c r="I61" i="9" s="1"/>
  <c r="L31" i="10"/>
  <c r="M31" i="10" s="1"/>
  <c r="L9" i="10"/>
  <c r="M9" i="10" s="1"/>
  <c r="L36" i="10"/>
  <c r="M36" i="10" s="1"/>
  <c r="L43" i="10"/>
  <c r="M43" i="10" s="1"/>
  <c r="L42" i="10"/>
  <c r="M42" i="10" s="1"/>
  <c r="E624" i="9"/>
  <c r="I624" i="9" s="1"/>
  <c r="E533" i="9"/>
  <c r="I533" i="9" s="1"/>
  <c r="E664" i="9"/>
  <c r="I664" i="9" s="1"/>
  <c r="E272" i="9"/>
  <c r="I272" i="9" s="1"/>
  <c r="E612" i="9"/>
  <c r="I612" i="9" s="1"/>
  <c r="E517" i="9"/>
  <c r="I517" i="9" s="1"/>
  <c r="E625" i="9"/>
  <c r="I625" i="9" s="1"/>
  <c r="E13" i="9"/>
  <c r="I13" i="9" s="1"/>
  <c r="E492" i="9"/>
  <c r="I492" i="9" s="1"/>
  <c r="E686" i="9"/>
  <c r="I686" i="9" s="1"/>
  <c r="E422" i="9"/>
  <c r="I422" i="9" s="1"/>
  <c r="E29" i="9"/>
  <c r="I29" i="9" s="1"/>
  <c r="E688" i="9"/>
  <c r="I688" i="9" s="1"/>
  <c r="E718" i="9"/>
  <c r="I718" i="9" s="1"/>
  <c r="E332" i="9"/>
  <c r="I332" i="9" s="1"/>
  <c r="E585" i="9"/>
  <c r="I585" i="9" s="1"/>
  <c r="E496" i="9"/>
  <c r="I496" i="9" s="1"/>
  <c r="E542" i="9"/>
  <c r="I542" i="9" s="1"/>
  <c r="E344" i="9"/>
  <c r="I344" i="9" s="1"/>
  <c r="L55" i="10"/>
  <c r="M55" i="10" s="1"/>
  <c r="L65" i="10"/>
  <c r="M65" i="10" s="1"/>
  <c r="L38" i="10"/>
  <c r="M38" i="10" s="1"/>
  <c r="L20" i="10"/>
  <c r="M20" i="10" s="1"/>
  <c r="L51" i="10"/>
  <c r="M51" i="10" s="1"/>
  <c r="L53" i="10"/>
  <c r="M53" i="10" s="1"/>
  <c r="E105" i="9"/>
  <c r="I105" i="9" s="1"/>
  <c r="E598" i="9"/>
  <c r="I598" i="9" s="1"/>
  <c r="E622" i="9"/>
  <c r="I622" i="9" s="1"/>
  <c r="E341" i="9"/>
  <c r="I341" i="9" s="1"/>
  <c r="E589" i="9"/>
  <c r="I589" i="9" s="1"/>
  <c r="E600" i="9"/>
  <c r="I600" i="9" s="1"/>
  <c r="E254" i="9"/>
  <c r="I254" i="9" s="1"/>
  <c r="E356" i="9"/>
  <c r="I356" i="9" s="1"/>
  <c r="E568" i="9"/>
  <c r="I568" i="9" s="1"/>
  <c r="E65" i="9"/>
  <c r="I65" i="9" s="1"/>
  <c r="E680" i="9"/>
  <c r="I680" i="9" s="1"/>
  <c r="E670" i="9"/>
  <c r="I670" i="9" s="1"/>
  <c r="E348" i="9"/>
  <c r="I348" i="9" s="1"/>
  <c r="E693" i="9"/>
  <c r="I693" i="9" s="1"/>
  <c r="E360" i="9"/>
  <c r="I360" i="9" s="1"/>
  <c r="E293" i="9"/>
  <c r="I293" i="9" s="1"/>
  <c r="E675" i="9"/>
  <c r="I675" i="9" s="1"/>
  <c r="E609" i="9"/>
  <c r="I609" i="9" s="1"/>
  <c r="E397" i="9"/>
  <c r="I397" i="9" s="1"/>
  <c r="L80" i="10"/>
  <c r="M80" i="10" s="1"/>
  <c r="L89" i="10"/>
  <c r="M89" i="10" s="1"/>
  <c r="L40" i="10"/>
  <c r="M40" i="10" s="1"/>
  <c r="L60" i="10"/>
  <c r="M60" i="10" s="1"/>
  <c r="L45" i="10"/>
  <c r="M45" i="10" s="1"/>
  <c r="L32" i="10"/>
  <c r="M32" i="10" s="1"/>
  <c r="L26" i="10"/>
  <c r="M26" i="10" s="1"/>
  <c r="L86" i="10"/>
  <c r="M86" i="10" s="1"/>
  <c r="E380" i="9"/>
  <c r="I380" i="9" s="1"/>
  <c r="E705" i="9"/>
  <c r="I705" i="9" s="1"/>
  <c r="E249" i="9"/>
  <c r="I249" i="9" s="1"/>
  <c r="E549" i="9"/>
  <c r="I549" i="9" s="1"/>
  <c r="E566" i="9"/>
  <c r="I566" i="9" s="1"/>
  <c r="E153" i="9"/>
  <c r="I153" i="9" s="1"/>
  <c r="L61" i="10"/>
  <c r="M61" i="10" s="1"/>
  <c r="L25" i="10"/>
  <c r="M25" i="10" s="1"/>
  <c r="L69" i="10"/>
  <c r="M69" i="10" s="1"/>
  <c r="L64" i="10"/>
  <c r="M64" i="10" s="1"/>
  <c r="L75" i="10"/>
  <c r="M75" i="10" s="1"/>
  <c r="L23" i="10"/>
  <c r="M23" i="10" s="1"/>
  <c r="L10" i="10"/>
  <c r="M10" i="10" s="1"/>
  <c r="E677" i="9"/>
  <c r="I677" i="9" s="1"/>
  <c r="E257" i="9"/>
  <c r="I257" i="9" s="1"/>
  <c r="E113" i="9"/>
  <c r="I113" i="9" s="1"/>
  <c r="E294" i="9"/>
  <c r="I294" i="9" s="1"/>
  <c r="E389" i="9"/>
  <c r="I389" i="9" s="1"/>
  <c r="E715" i="9"/>
  <c r="I715" i="9" s="1"/>
  <c r="E2" i="9"/>
  <c r="I2" i="9" s="1"/>
  <c r="L30" i="10"/>
  <c r="M30" i="10" s="1"/>
  <c r="L41" i="10"/>
  <c r="M41" i="10" s="1"/>
  <c r="L7" i="10"/>
  <c r="M7" i="10" s="1"/>
  <c r="L52" i="10"/>
  <c r="M52" i="10" s="1"/>
  <c r="L78" i="10"/>
  <c r="M78" i="10" s="1"/>
  <c r="L27" i="10"/>
  <c r="M27" i="10" s="1"/>
  <c r="L85" i="10"/>
  <c r="M85" i="10" s="1"/>
  <c r="L18" i="10"/>
  <c r="M18" i="10" s="1"/>
  <c r="L82" i="10"/>
  <c r="M82" i="10" s="1"/>
  <c r="E438" i="9"/>
  <c r="I438" i="9" s="1"/>
  <c r="E213" i="9"/>
  <c r="I213" i="9" s="1"/>
  <c r="E313" i="9"/>
  <c r="I313" i="9" s="1"/>
  <c r="E268" i="9"/>
  <c r="I268" i="9" s="1"/>
  <c r="E552" i="9"/>
  <c r="I552" i="9" s="1"/>
  <c r="E703" i="9"/>
  <c r="I703" i="9" s="1"/>
  <c r="E145" i="9"/>
  <c r="I145" i="9" s="1"/>
  <c r="E359" i="9"/>
  <c r="I359" i="9" s="1"/>
  <c r="E536" i="9"/>
  <c r="I536" i="9" s="1"/>
  <c r="E316" i="9"/>
  <c r="I316" i="9" s="1"/>
  <c r="E543" i="9"/>
  <c r="I543" i="9" s="1"/>
  <c r="E697" i="9"/>
  <c r="I697" i="9" s="1"/>
  <c r="E94" i="9"/>
  <c r="I94" i="9" s="1"/>
  <c r="E489" i="9"/>
  <c r="I489" i="9" s="1"/>
  <c r="E580" i="9"/>
  <c r="I580" i="9" s="1"/>
  <c r="E104" i="9"/>
  <c r="I104" i="9" s="1"/>
  <c r="E372" i="9"/>
  <c r="I372" i="9" s="1"/>
  <c r="E336" i="9"/>
  <c r="I336" i="9" s="1"/>
  <c r="E662" i="9"/>
  <c r="I662" i="9" s="1"/>
  <c r="E683" i="9"/>
  <c r="I683" i="9" s="1"/>
  <c r="E509" i="9"/>
  <c r="I509" i="9" s="1"/>
  <c r="E429" i="9"/>
  <c r="I429" i="9" s="1"/>
  <c r="E676" i="9"/>
  <c r="I676" i="9" s="1"/>
  <c r="E405" i="9"/>
  <c r="I405" i="9" s="1"/>
  <c r="E312" i="9"/>
  <c r="I312" i="9" s="1"/>
  <c r="E464" i="9"/>
  <c r="I464" i="9" s="1"/>
  <c r="E461" i="9"/>
  <c r="I461" i="9" s="1"/>
  <c r="E687" i="9"/>
  <c r="I687" i="9" s="1"/>
  <c r="E572" i="9"/>
  <c r="I572" i="9" s="1"/>
  <c r="E614" i="9"/>
  <c r="I614" i="9" s="1"/>
  <c r="E349" i="9"/>
  <c r="I349" i="9" s="1"/>
  <c r="E684" i="9"/>
  <c r="I684" i="9" s="1"/>
  <c r="E428" i="9"/>
  <c r="I428" i="9" s="1"/>
  <c r="E704" i="9"/>
  <c r="I704" i="9" s="1"/>
  <c r="E225" i="9"/>
  <c r="I225" i="9" s="1"/>
  <c r="E669" i="9"/>
  <c r="I669" i="9" s="1"/>
  <c r="E350" i="9"/>
  <c r="I350" i="9" s="1"/>
  <c r="E681" i="9"/>
  <c r="I681" i="9" s="1"/>
  <c r="E529" i="9"/>
  <c r="I529" i="9" s="1"/>
  <c r="E644" i="9"/>
  <c r="I644" i="9" s="1"/>
  <c r="E545" i="9"/>
  <c r="I545" i="9" s="1"/>
  <c r="L48" i="10"/>
  <c r="M48" i="10" s="1"/>
  <c r="L93" i="10"/>
  <c r="M93" i="10" s="1"/>
  <c r="L49" i="10"/>
  <c r="M49" i="10" s="1"/>
  <c r="L8" i="10"/>
  <c r="M8" i="10" s="1"/>
  <c r="L37" i="10"/>
  <c r="M37" i="10" s="1"/>
  <c r="L44" i="10"/>
  <c r="M44" i="10" s="1"/>
  <c r="L79" i="10"/>
  <c r="M79" i="10" s="1"/>
  <c r="L13" i="10"/>
  <c r="M13" i="10" s="1"/>
  <c r="L35" i="10"/>
  <c r="M35" i="10" s="1"/>
  <c r="L95" i="10"/>
  <c r="M95" i="10" s="1"/>
  <c r="L21" i="10"/>
  <c r="M21" i="10" s="1"/>
  <c r="L34" i="10"/>
  <c r="M34" i="10" s="1"/>
  <c r="L17" i="10"/>
  <c r="M17" i="10" s="1"/>
  <c r="L70" i="10"/>
  <c r="M70" i="10" s="1"/>
  <c r="L76" i="10"/>
  <c r="M76" i="10" s="1"/>
  <c r="L12" i="10"/>
  <c r="M12" i="10" s="1"/>
  <c r="L46" i="10"/>
  <c r="M46" i="10" s="1"/>
  <c r="L67" i="10"/>
  <c r="M67" i="10" s="1"/>
  <c r="L3" i="10"/>
  <c r="M3" i="10" s="1"/>
  <c r="L54" i="10"/>
  <c r="M54" i="10" s="1"/>
  <c r="L66" i="10"/>
  <c r="M66" i="10" s="1"/>
  <c r="L2" i="10"/>
  <c r="M2" i="10" s="1"/>
  <c r="L68" i="10"/>
  <c r="M68" i="10" s="1"/>
  <c r="L4" i="10"/>
  <c r="M4" i="10" s="1"/>
  <c r="L14" i="10"/>
  <c r="M14" i="10" s="1"/>
  <c r="L59" i="10"/>
  <c r="M59" i="10" s="1"/>
  <c r="L88" i="10"/>
  <c r="M88" i="10" s="1"/>
  <c r="L22" i="10"/>
  <c r="M22" i="10" s="1"/>
  <c r="E105" i="2" l="1" a="1"/>
  <c r="E105" i="2" s="1"/>
  <c r="I110" i="2" a="1"/>
  <c r="I110" i="2" s="1"/>
  <c r="H103" i="2" a="1"/>
  <c r="H103" i="2" s="1"/>
  <c r="H104" i="2" a="1"/>
  <c r="H104" i="2" s="1"/>
  <c r="D118" i="2" a="1"/>
  <c r="D118" i="2" s="1"/>
  <c r="J35" i="1" s="1"/>
  <c r="F116" i="2" a="1"/>
  <c r="F116" i="2" s="1"/>
  <c r="B33" i="1" s="1"/>
  <c r="G101" i="2" a="1"/>
  <c r="G101" i="2" s="1"/>
  <c r="J107" i="2" a="1"/>
  <c r="J107" i="2" s="1"/>
  <c r="E117" i="2" a="1"/>
  <c r="E117" i="2" s="1"/>
  <c r="S34" i="1" s="1"/>
  <c r="D104" i="2" a="1"/>
  <c r="D104" i="2" s="1"/>
  <c r="F102" i="2" a="1"/>
  <c r="F102" i="2" s="1"/>
  <c r="E110" i="2" a="1"/>
  <c r="E110" i="2" s="1"/>
  <c r="D108" i="2" a="1"/>
  <c r="D108" i="2" s="1"/>
  <c r="I101" i="2" a="1"/>
  <c r="I101" i="2" s="1"/>
  <c r="B108" i="2" a="1"/>
  <c r="B108" i="2" s="1"/>
  <c r="A119" i="2" a="1"/>
  <c r="A119" i="2" s="1"/>
  <c r="AA36" i="1" s="1"/>
  <c r="C115" i="2" a="1"/>
  <c r="C115" i="2" s="1"/>
  <c r="AC32" i="1" s="1"/>
  <c r="H108" i="2" a="1"/>
  <c r="H108" i="2" s="1"/>
  <c r="H106" i="2" a="1"/>
  <c r="H106" i="2" s="1"/>
  <c r="F119" i="2" a="1"/>
  <c r="F119" i="2" s="1"/>
  <c r="B36" i="1" s="1"/>
  <c r="F104" i="2" a="1"/>
  <c r="F104" i="2" s="1"/>
  <c r="J109" i="2" a="1"/>
  <c r="J109" i="2" s="1"/>
  <c r="E118" i="2" a="1"/>
  <c r="E118" i="2" s="1"/>
  <c r="S35" i="1" s="1"/>
  <c r="G108" i="2" a="1"/>
  <c r="G108" i="2" s="1"/>
  <c r="F110" i="2" a="1"/>
  <c r="F110" i="2" s="1"/>
  <c r="B104" i="2" a="1"/>
  <c r="B104" i="2" s="1"/>
  <c r="A115" i="2" a="1"/>
  <c r="A115" i="2" s="1"/>
  <c r="AA32" i="1" s="1"/>
  <c r="H105" i="2" a="1"/>
  <c r="H105" i="2" s="1"/>
  <c r="F100" i="2" a="1"/>
  <c r="F100" i="2" s="1"/>
  <c r="B115" i="2" a="1"/>
  <c r="B115" i="2" s="1"/>
  <c r="AB32" i="1" s="1"/>
  <c r="D105" i="2" a="1"/>
  <c r="D105" i="2" s="1"/>
  <c r="A102" i="2" a="1"/>
  <c r="A102" i="2" s="1"/>
  <c r="B110" i="2" a="1"/>
  <c r="B110" i="2" s="1"/>
  <c r="C107" i="2" a="1"/>
  <c r="C107" i="2" s="1"/>
  <c r="D103" i="2" a="1"/>
  <c r="D103" i="2" s="1"/>
  <c r="G103" i="2" a="1"/>
  <c r="G103" i="2" s="1"/>
  <c r="C100" i="2" a="1"/>
  <c r="C100" i="2" s="1"/>
  <c r="C110" i="2" a="1"/>
  <c r="C110" i="2" s="1"/>
  <c r="J105" i="2" a="1"/>
  <c r="J105" i="2" s="1"/>
  <c r="B117" i="2" a="1"/>
  <c r="B117" i="2" s="1"/>
  <c r="AB34" i="1" s="1"/>
  <c r="D116" i="2" a="1"/>
  <c r="D116" i="2" s="1"/>
  <c r="J33" i="1" s="1"/>
  <c r="C119" i="2" a="1"/>
  <c r="C119" i="2" s="1"/>
  <c r="AC36" i="1" s="1"/>
  <c r="B100" i="2" a="1"/>
  <c r="B100" i="2" s="1"/>
  <c r="B105" i="2" a="1"/>
  <c r="B105" i="2" s="1"/>
  <c r="E106" i="2" a="1"/>
  <c r="E106" i="2" s="1"/>
  <c r="G106" i="2" a="1"/>
  <c r="G106" i="2" s="1"/>
  <c r="J102" i="2" a="1"/>
  <c r="J102" i="2" s="1"/>
  <c r="E104" i="2" a="1"/>
  <c r="E104" i="2" s="1"/>
  <c r="G107" i="2" a="1"/>
  <c r="G107" i="2" s="1"/>
  <c r="A103" i="2" a="1"/>
  <c r="A103" i="2" s="1"/>
  <c r="I106" i="2" a="1"/>
  <c r="I106" i="2" s="1"/>
  <c r="C104" i="2" a="1"/>
  <c r="C104" i="2" s="1"/>
  <c r="I108" i="2" a="1"/>
  <c r="I108" i="2" s="1"/>
  <c r="H101" i="2" a="1"/>
  <c r="H101" i="2" s="1"/>
  <c r="B102" i="2" a="1"/>
  <c r="B102" i="2" s="1"/>
  <c r="J104" i="2" a="1"/>
  <c r="J104" i="2" s="1"/>
  <c r="D119" i="2" a="1"/>
  <c r="D119" i="2" s="1"/>
  <c r="J36" i="1" s="1"/>
  <c r="G104" i="2" a="1"/>
  <c r="G104" i="2" s="1"/>
  <c r="G105" i="2" a="1"/>
  <c r="G105" i="2" s="1"/>
  <c r="B103" i="2" a="1"/>
  <c r="B103" i="2" s="1"/>
  <c r="A100" i="2" a="1"/>
  <c r="A100" i="2" s="1"/>
  <c r="E116" i="2" a="1"/>
  <c r="E116" i="2" s="1"/>
  <c r="S33" i="1" s="1"/>
  <c r="A106" i="2" a="1"/>
  <c r="A106" i="2" s="1"/>
  <c r="G110" i="2" a="1"/>
  <c r="G110" i="2" s="1"/>
  <c r="D100" i="2" a="1"/>
  <c r="D100" i="2" s="1"/>
  <c r="D117" i="2" a="1"/>
  <c r="D117" i="2" s="1"/>
  <c r="J34" i="1" s="1"/>
  <c r="F101" i="2" a="1"/>
  <c r="F101" i="2" s="1"/>
  <c r="A104" i="2" a="1"/>
  <c r="A104" i="2" s="1"/>
  <c r="A118" i="2" a="1"/>
  <c r="A118" i="2" s="1"/>
  <c r="AA35" i="1" s="1"/>
  <c r="F117" i="2" a="1"/>
  <c r="F117" i="2" s="1"/>
  <c r="B34" i="1" s="1"/>
  <c r="C116" i="2" a="1"/>
  <c r="C116" i="2" s="1"/>
  <c r="AC33" i="1" s="1"/>
  <c r="F118" i="2" a="1"/>
  <c r="F118" i="2" s="1"/>
  <c r="B35" i="1" s="1"/>
  <c r="G100" i="2" a="1"/>
  <c r="G100" i="2" s="1"/>
  <c r="J106" i="2" a="1"/>
  <c r="J106" i="2" s="1"/>
  <c r="B106" i="2" a="1"/>
  <c r="B106" i="2" s="1"/>
  <c r="F106" i="2" a="1"/>
  <c r="F106" i="2" s="1"/>
  <c r="F108" i="2" a="1"/>
  <c r="F108" i="2" s="1"/>
  <c r="E103" i="2" a="1"/>
  <c r="E103" i="2" s="1"/>
  <c r="E108" i="2" a="1"/>
  <c r="E108" i="2" s="1"/>
  <c r="I104" i="2" a="1"/>
  <c r="I104" i="2" s="1"/>
  <c r="F107" i="2" a="1"/>
  <c r="F107" i="2" s="1"/>
  <c r="E109" i="2" a="1"/>
  <c r="E109" i="2" s="1"/>
  <c r="A107" i="2" a="1"/>
  <c r="A107" i="2" s="1"/>
  <c r="C101" i="2" a="1"/>
  <c r="C101" i="2" s="1"/>
  <c r="E100" i="2" a="1"/>
  <c r="E100" i="2" s="1"/>
  <c r="D110" i="2" a="1"/>
  <c r="D110" i="2" s="1"/>
  <c r="C117" i="2" a="1"/>
  <c r="C117" i="2" s="1"/>
  <c r="AC34" i="1" s="1"/>
  <c r="B101" i="2" a="1"/>
  <c r="B101" i="2" s="1"/>
  <c r="B109" i="2" a="1"/>
  <c r="B109" i="2" s="1"/>
  <c r="J110" i="2" a="1"/>
  <c r="J110" i="2" s="1"/>
  <c r="F105" i="2" a="1"/>
  <c r="F105" i="2" s="1"/>
  <c r="F115" i="2" a="1"/>
  <c r="F115" i="2" s="1"/>
  <c r="B32" i="1" s="1"/>
  <c r="I102" i="2" a="1"/>
  <c r="I102" i="2" s="1"/>
  <c r="E102" i="2" a="1"/>
  <c r="E102" i="2" s="1"/>
  <c r="C105" i="2" a="1"/>
  <c r="C105" i="2" s="1"/>
  <c r="I105" i="2" a="1"/>
  <c r="I105" i="2" s="1"/>
  <c r="A109" i="2" a="1"/>
  <c r="A109" i="2" s="1"/>
  <c r="M96" i="10"/>
  <c r="B118" i="2" a="1"/>
  <c r="B118" i="2" s="1"/>
  <c r="AB35" i="1" s="1"/>
  <c r="B119" i="2" a="1"/>
  <c r="B119" i="2" s="1"/>
  <c r="AB36" i="1" s="1"/>
  <c r="B116" i="2" a="1"/>
  <c r="B116" i="2" s="1"/>
  <c r="AB33" i="1" s="1"/>
  <c r="E115" i="2" a="1"/>
  <c r="E115" i="2" s="1"/>
  <c r="S32" i="1" s="1"/>
  <c r="D102" i="2" a="1"/>
  <c r="D102" i="2" s="1"/>
  <c r="E101" i="2" a="1"/>
  <c r="E101" i="2" s="1"/>
  <c r="I103" i="2" a="1"/>
  <c r="I103" i="2" s="1"/>
  <c r="C103" i="2" a="1"/>
  <c r="C103" i="2" s="1"/>
  <c r="I109" i="2" a="1"/>
  <c r="I109" i="2" s="1"/>
  <c r="C102" i="2" a="1"/>
  <c r="C102" i="2" s="1"/>
  <c r="B107" i="2" a="1"/>
  <c r="B107" i="2" s="1"/>
  <c r="H109" i="2" a="1"/>
  <c r="H109" i="2" s="1"/>
  <c r="J101" i="2" a="1"/>
  <c r="J101" i="2" s="1"/>
  <c r="D106" i="2" a="1"/>
  <c r="D106" i="2" s="1"/>
  <c r="C106" i="2" a="1"/>
  <c r="C106" i="2" s="1"/>
  <c r="F103" i="2" a="1"/>
  <c r="F103" i="2" s="1"/>
  <c r="D101" i="2" a="1"/>
  <c r="D101" i="2" s="1"/>
  <c r="G102" i="2" a="1"/>
  <c r="G102" i="2" s="1"/>
  <c r="C118" i="2" a="1"/>
  <c r="C118" i="2" s="1"/>
  <c r="AC35" i="1" s="1"/>
  <c r="D107" i="2" a="1"/>
  <c r="D107" i="2" s="1"/>
  <c r="I100" i="2" a="1"/>
  <c r="I100" i="2" s="1"/>
  <c r="A116" i="2" a="1"/>
  <c r="A116" i="2" s="1"/>
  <c r="AA33" i="1" s="1"/>
  <c r="H100" i="2" a="1"/>
  <c r="H100" i="2" s="1"/>
  <c r="A110" i="2" a="1"/>
  <c r="A110" i="2" s="1"/>
  <c r="A108" i="2" a="1"/>
  <c r="A108" i="2" s="1"/>
  <c r="E119" i="2" a="1"/>
  <c r="E119" i="2" s="1"/>
  <c r="S36" i="1" s="1"/>
  <c r="L96" i="10"/>
  <c r="C108" i="2" a="1"/>
  <c r="C108" i="2" s="1"/>
  <c r="H107" i="2" a="1"/>
  <c r="H107" i="2" s="1"/>
  <c r="D115" i="2" a="1"/>
  <c r="D115" i="2" s="1"/>
  <c r="J32" i="1" s="1"/>
  <c r="A117" i="2" a="1"/>
  <c r="A117" i="2" s="1"/>
  <c r="AA34" i="1" s="1"/>
  <c r="I107" i="2" a="1"/>
  <c r="I107" i="2" s="1"/>
  <c r="E107" i="2" a="1"/>
  <c r="E107" i="2" s="1"/>
  <c r="H110" i="2" a="1"/>
  <c r="H110" i="2" s="1"/>
  <c r="D109" i="2" a="1"/>
  <c r="D109" i="2" s="1"/>
  <c r="J108" i="2" a="1"/>
  <c r="J108" i="2" s="1"/>
  <c r="A101" i="2" a="1"/>
  <c r="A101" i="2" s="1"/>
  <c r="J103" i="2" a="1"/>
  <c r="J103" i="2" s="1"/>
  <c r="C109" i="2" a="1"/>
  <c r="C109" i="2" s="1"/>
  <c r="G109" i="2" a="1"/>
  <c r="G109" i="2" s="1"/>
  <c r="H102" i="2" a="1"/>
  <c r="H102" i="2" s="1"/>
  <c r="J100" i="2" a="1"/>
  <c r="J100" i="2" s="1"/>
  <c r="A105" i="2" a="1"/>
  <c r="A105" i="2" s="1"/>
  <c r="F109" i="2" a="1"/>
  <c r="F109" i="2" s="1"/>
  <c r="I132" i="2" l="1" a="1"/>
  <c r="I132" i="2" s="1"/>
  <c r="AA54" i="1" s="1"/>
  <c r="J128" i="2" a="1"/>
  <c r="J128" i="2" s="1"/>
  <c r="AB50" i="1" s="1"/>
  <c r="K127" i="2" a="1"/>
  <c r="K127" i="2" s="1"/>
  <c r="AC49" i="1" s="1"/>
  <c r="H131" i="2" a="1"/>
  <c r="H131" i="2" s="1"/>
  <c r="Y53" i="1" s="1"/>
  <c r="H126" i="2" a="1"/>
  <c r="H126" i="2" s="1"/>
  <c r="Y48" i="1" s="1"/>
  <c r="I133" i="2" a="1"/>
  <c r="I133" i="2" s="1"/>
  <c r="AA55" i="1" s="1"/>
  <c r="I134" i="2" a="1"/>
  <c r="I134" i="2" s="1"/>
  <c r="AA56" i="1" s="1"/>
  <c r="K135" i="2" a="1"/>
  <c r="K135" i="2" s="1"/>
  <c r="AC57" i="1" s="1"/>
  <c r="F124" i="2" a="1"/>
  <c r="F124" i="2" s="1"/>
  <c r="R46" i="1" s="1"/>
  <c r="F132" i="2" a="1"/>
  <c r="F132" i="2" s="1"/>
  <c r="R54" i="1" s="1"/>
  <c r="C133" i="2" a="1"/>
  <c r="C133" i="2" s="1"/>
  <c r="I55" i="1" s="1"/>
  <c r="I127" i="2" a="1"/>
  <c r="I127" i="2" s="1"/>
  <c r="AA49" i="1" s="1"/>
  <c r="C132" i="2" a="1"/>
  <c r="C132" i="2" s="1"/>
  <c r="I54" i="1" s="1"/>
  <c r="A128" i="2" a="1"/>
  <c r="A128" i="2" s="1"/>
  <c r="B50" i="1" s="1"/>
  <c r="J133" i="2" a="1"/>
  <c r="J133" i="2" s="1"/>
  <c r="AB55" i="1" s="1"/>
  <c r="C135" i="2" a="1"/>
  <c r="C135" i="2" s="1"/>
  <c r="I57" i="1" s="1"/>
  <c r="A127" i="2" a="1"/>
  <c r="A127" i="2" s="1"/>
  <c r="B49" i="1" s="1"/>
  <c r="F126" i="2" a="1"/>
  <c r="F126" i="2" s="1"/>
  <c r="R48" i="1" s="1"/>
  <c r="F131" i="2" a="1"/>
  <c r="F131" i="2" s="1"/>
  <c r="R53" i="1" s="1"/>
  <c r="K126" i="2" a="1"/>
  <c r="K126" i="2" s="1"/>
  <c r="AC48" i="1" s="1"/>
  <c r="F135" i="2" a="1"/>
  <c r="F135" i="2" s="1"/>
  <c r="R57" i="1" s="1"/>
  <c r="C134" i="2" a="1"/>
  <c r="C134" i="2" s="1"/>
  <c r="I56" i="1" s="1"/>
  <c r="A126" i="2" a="1"/>
  <c r="A126" i="2" s="1"/>
  <c r="B48" i="1" s="1"/>
  <c r="I125" i="2" a="1"/>
  <c r="I125" i="2" s="1"/>
  <c r="AA47" i="1" s="1"/>
  <c r="F125" i="2" a="1"/>
  <c r="F125" i="2" s="1"/>
  <c r="R47" i="1" s="1"/>
  <c r="A132" i="2" a="1"/>
  <c r="A132" i="2" s="1"/>
  <c r="B54" i="1" s="1"/>
  <c r="A134" i="2" a="1"/>
  <c r="A134" i="2" s="1"/>
  <c r="B56" i="1" s="1"/>
  <c r="F134" i="2" a="1"/>
  <c r="F134" i="2" s="1"/>
  <c r="R56" i="1" s="1"/>
  <c r="C131" i="2" a="1"/>
  <c r="C131" i="2" s="1"/>
  <c r="I53" i="1" s="1"/>
  <c r="H125" i="2" a="1"/>
  <c r="H125" i="2" s="1"/>
  <c r="Y47" i="1" s="1"/>
  <c r="A124" i="2" a="1"/>
  <c r="A124" i="2" s="1"/>
  <c r="B46" i="1" s="1"/>
  <c r="C128" i="2" a="1"/>
  <c r="C128" i="2" s="1"/>
  <c r="I50" i="1" s="1"/>
  <c r="J127" i="2" a="1"/>
  <c r="J127" i="2" s="1"/>
  <c r="AB49" i="1" s="1"/>
  <c r="A135" i="2" a="1"/>
  <c r="A135" i="2" s="1"/>
  <c r="B57" i="1" s="1"/>
  <c r="J134" i="2" a="1"/>
  <c r="J134" i="2" s="1"/>
  <c r="AB56" i="1" s="1"/>
  <c r="K133" i="2" a="1"/>
  <c r="K133" i="2" s="1"/>
  <c r="AC55" i="1" s="1"/>
  <c r="K134" i="2" a="1"/>
  <c r="K134" i="2" s="1"/>
  <c r="AC56" i="1" s="1"/>
  <c r="I124" i="2" a="1"/>
  <c r="I124" i="2" s="1"/>
  <c r="AA46" i="1" s="1"/>
  <c r="J126" i="2" a="1"/>
  <c r="J126" i="2" s="1"/>
  <c r="AB48" i="1" s="1"/>
  <c r="K124" i="2" a="1"/>
  <c r="K124" i="2" s="1"/>
  <c r="AC46" i="1" s="1"/>
  <c r="C125" i="2" a="1"/>
  <c r="C125" i="2" s="1"/>
  <c r="I47" i="1" s="1"/>
  <c r="J132" i="2" a="1"/>
  <c r="J132" i="2" s="1"/>
  <c r="AB54" i="1" s="1"/>
  <c r="K131" i="2" a="1"/>
  <c r="K131" i="2" s="1"/>
  <c r="AC53" i="1" s="1"/>
  <c r="A133" i="2" a="1"/>
  <c r="A133" i="2" s="1"/>
  <c r="B55" i="1" s="1"/>
  <c r="I131" i="2" a="1"/>
  <c r="I131" i="2" s="1"/>
  <c r="AA53" i="1" s="1"/>
  <c r="F128" i="2" a="1"/>
  <c r="F128" i="2" s="1"/>
  <c r="R50" i="1" s="1"/>
  <c r="K125" i="2" a="1"/>
  <c r="K125" i="2" s="1"/>
  <c r="AC47" i="1" s="1"/>
  <c r="H127" i="2" a="1"/>
  <c r="H127" i="2" s="1"/>
  <c r="Y49" i="1" s="1"/>
  <c r="J125" i="2" a="1"/>
  <c r="J125" i="2" s="1"/>
  <c r="AB47" i="1" s="1"/>
  <c r="H128" i="2" a="1"/>
  <c r="H128" i="2" s="1"/>
  <c r="Y50" i="1" s="1"/>
  <c r="K132" i="2" a="1"/>
  <c r="K132" i="2" s="1"/>
  <c r="AC54" i="1" s="1"/>
  <c r="H135" i="2" a="1"/>
  <c r="H135" i="2" s="1"/>
  <c r="Y57" i="1" s="1"/>
  <c r="F133" i="2" a="1"/>
  <c r="F133" i="2" s="1"/>
  <c r="R55" i="1" s="1"/>
  <c r="C126" i="2" a="1"/>
  <c r="C126" i="2" s="1"/>
  <c r="I48" i="1" s="1"/>
  <c r="H134" i="2" a="1"/>
  <c r="H134" i="2" s="1"/>
  <c r="Y56" i="1" s="1"/>
  <c r="J131" i="2" a="1"/>
  <c r="J131" i="2" s="1"/>
  <c r="AB53" i="1" s="1"/>
  <c r="A131" i="2" a="1"/>
  <c r="A131" i="2" s="1"/>
  <c r="B53" i="1" s="1"/>
  <c r="H133" i="2" a="1"/>
  <c r="H133" i="2" s="1"/>
  <c r="Y55" i="1" s="1"/>
  <c r="I128" i="2" a="1"/>
  <c r="I128" i="2" s="1"/>
  <c r="AA50" i="1" s="1"/>
  <c r="H124" i="2" a="1"/>
  <c r="H124" i="2" s="1"/>
  <c r="Y46" i="1" s="1"/>
  <c r="I126" i="2" a="1"/>
  <c r="I126" i="2" s="1"/>
  <c r="AA48" i="1" s="1"/>
  <c r="C124" i="2" a="1"/>
  <c r="C124" i="2" s="1"/>
  <c r="I46" i="1" s="1"/>
  <c r="F127" i="2" a="1"/>
  <c r="F127" i="2" s="1"/>
  <c r="R49" i="1" s="1"/>
  <c r="J135" i="2" a="1"/>
  <c r="J135" i="2" s="1"/>
  <c r="AB57" i="1" s="1"/>
  <c r="I135" i="2" a="1"/>
  <c r="I135" i="2" s="1"/>
  <c r="AA57" i="1" s="1"/>
  <c r="H132" i="2" a="1"/>
  <c r="H132" i="2" s="1"/>
  <c r="Y54" i="1" s="1"/>
  <c r="A125" i="2" a="1"/>
  <c r="A125" i="2" s="1"/>
  <c r="B47" i="1" s="1"/>
  <c r="J124" i="2" a="1"/>
  <c r="J124" i="2" s="1"/>
  <c r="AB46" i="1" s="1"/>
  <c r="C127" i="2" a="1"/>
  <c r="C127" i="2" s="1"/>
  <c r="I49" i="1" s="1"/>
  <c r="K128" i="2" a="1"/>
  <c r="K128" i="2" s="1"/>
  <c r="AC50" i="1" s="1"/>
</calcChain>
</file>

<file path=xl/sharedStrings.xml><?xml version="1.0" encoding="utf-8"?>
<sst xmlns="http://schemas.openxmlformats.org/spreadsheetml/2006/main" count="3152" uniqueCount="1553">
  <si>
    <t>Türauflage</t>
  </si>
  <si>
    <t>Topfabstand</t>
  </si>
  <si>
    <t>Bohrbild</t>
  </si>
  <si>
    <t>45/9,5</t>
  </si>
  <si>
    <t>Montageplattenhöhe</t>
  </si>
  <si>
    <t>Kröpfung</t>
  </si>
  <si>
    <t>Kreuzmontageplatte</t>
  </si>
  <si>
    <t>Linearmontageplatte</t>
  </si>
  <si>
    <t>Tiomos 110</t>
  </si>
  <si>
    <t>Tiomos 120</t>
  </si>
  <si>
    <t>Tiomos 160</t>
  </si>
  <si>
    <t>Tiomos 95</t>
  </si>
  <si>
    <t>48/9</t>
  </si>
  <si>
    <t>42/11</t>
  </si>
  <si>
    <t>52/5,5</t>
  </si>
  <si>
    <t>48/6</t>
  </si>
  <si>
    <t xml:space="preserve"> Scharnierbefestigung </t>
  </si>
  <si>
    <t>Anschraubversion</t>
  </si>
  <si>
    <t>Einpressversion</t>
  </si>
  <si>
    <t>Dübelversion</t>
  </si>
  <si>
    <t>Scharniertyp</t>
  </si>
  <si>
    <t>mit Soft Close</t>
  </si>
  <si>
    <t>ohne Soft Close</t>
  </si>
  <si>
    <t>Tipmatic</t>
  </si>
  <si>
    <t>Deutsch</t>
  </si>
  <si>
    <t>Sprache</t>
  </si>
  <si>
    <t>German</t>
  </si>
  <si>
    <t>Montageplatte</t>
  </si>
  <si>
    <t xml:space="preserve">Scharnierbefestigung </t>
  </si>
  <si>
    <t>95°</t>
  </si>
  <si>
    <t>110°</t>
  </si>
  <si>
    <t>120°</t>
  </si>
  <si>
    <t>160°</t>
  </si>
  <si>
    <t xml:space="preserve">        120°</t>
  </si>
  <si>
    <t xml:space="preserve">       95°</t>
  </si>
  <si>
    <t xml:space="preserve"> 160°</t>
  </si>
  <si>
    <t>Scharnier</t>
  </si>
  <si>
    <t>Montageplattentyp</t>
  </si>
  <si>
    <t>ohne Feder</t>
  </si>
  <si>
    <t>Anschrauben</t>
  </si>
  <si>
    <t>Einpressen</t>
  </si>
  <si>
    <t>Werkzeuglos</t>
  </si>
  <si>
    <t>Bestellnummer</t>
  </si>
  <si>
    <t>F028138519</t>
  </si>
  <si>
    <t>F028138523</t>
  </si>
  <si>
    <t>F017139329</t>
  </si>
  <si>
    <t>F045138461</t>
  </si>
  <si>
    <t>F034139300</t>
  </si>
  <si>
    <t>F046138579</t>
  </si>
  <si>
    <t>F035139357</t>
  </si>
  <si>
    <t>37/32</t>
  </si>
  <si>
    <t>28/32</t>
  </si>
  <si>
    <t>Höhe</t>
  </si>
  <si>
    <t>F058139751</t>
  </si>
  <si>
    <t>F058139752</t>
  </si>
  <si>
    <t>F058139753</t>
  </si>
  <si>
    <t>F058139754</t>
  </si>
  <si>
    <t>F058139796</t>
  </si>
  <si>
    <t>F058139797</t>
  </si>
  <si>
    <t>F058139798</t>
  </si>
  <si>
    <t>F058139799</t>
  </si>
  <si>
    <t>Linear</t>
  </si>
  <si>
    <t>Kreuz</t>
  </si>
  <si>
    <t>Winkel</t>
  </si>
  <si>
    <t>Artikel#</t>
  </si>
  <si>
    <t>Bezeichnung 1</t>
  </si>
  <si>
    <t>Bezeichnung 2</t>
  </si>
  <si>
    <t>Bezeichnung TGr</t>
  </si>
  <si>
    <t>Links</t>
  </si>
  <si>
    <t>mit Dämpfung</t>
  </si>
  <si>
    <t>ohne Dämpfung</t>
  </si>
  <si>
    <t>TIOMOS Scharnier TS Impresso</t>
  </si>
  <si>
    <t>110°, MB-BB, K00, ni</t>
  </si>
  <si>
    <t>Tiomos Impresso Scharniere</t>
  </si>
  <si>
    <t>F017139330</t>
  </si>
  <si>
    <t>110°, MB-BB, K03, ni</t>
  </si>
  <si>
    <t>F017139331</t>
  </si>
  <si>
    <t>110°, MB-BB, K95, ni</t>
  </si>
  <si>
    <t>F017139332</t>
  </si>
  <si>
    <t>110°, MB-BB, K19, ni</t>
  </si>
  <si>
    <t>F017139343</t>
  </si>
  <si>
    <t>120°, MB-BB, K00, ni</t>
  </si>
  <si>
    <t>F017139344</t>
  </si>
  <si>
    <t>120°, MB-BB, K03, ni</t>
  </si>
  <si>
    <t>F017139345</t>
  </si>
  <si>
    <t>120°, MB-BB, K95, ni</t>
  </si>
  <si>
    <t>F017139346</t>
  </si>
  <si>
    <t>120°, MB-BB, K19, ni</t>
  </si>
  <si>
    <t>F017139350</t>
  </si>
  <si>
    <t>160°, MB-BB, K00, ni</t>
  </si>
  <si>
    <t>F017139351</t>
  </si>
  <si>
    <t>160°, MB-BB, K03, ni</t>
  </si>
  <si>
    <t>F017139352</t>
  </si>
  <si>
    <t>160°, MB-BB, K95, ni</t>
  </si>
  <si>
    <t>F017139353</t>
  </si>
  <si>
    <t>95°, MB-BB, K00, ni</t>
  </si>
  <si>
    <t>F017139354</t>
  </si>
  <si>
    <t>95°, MB-BB, K03, ni</t>
  </si>
  <si>
    <t>F017139355</t>
  </si>
  <si>
    <t>95°, MB-BB, K95, ni</t>
  </si>
  <si>
    <t>F017139356</t>
  </si>
  <si>
    <t>95°, MB-BB, K19, ni</t>
  </si>
  <si>
    <t>F017139414</t>
  </si>
  <si>
    <t>110°, GB-BB, K00, ni</t>
  </si>
  <si>
    <t>F017139415</t>
  </si>
  <si>
    <t>110°, GB-BB, K03, ni</t>
  </si>
  <si>
    <t>F017139416</t>
  </si>
  <si>
    <t>110°, GB-BB, K95, ni</t>
  </si>
  <si>
    <t>F017139417</t>
  </si>
  <si>
    <t>110°, GB-BB, K19, ni</t>
  </si>
  <si>
    <t>F017139428</t>
  </si>
  <si>
    <t>120°, GB-BB, K00, ni</t>
  </si>
  <si>
    <t>F017139429</t>
  </si>
  <si>
    <t>120°, GB-BB, K03, ni</t>
  </si>
  <si>
    <t>F017139430</t>
  </si>
  <si>
    <t>120°, GB-BB, K95, ni</t>
  </si>
  <si>
    <t>F017139435</t>
  </si>
  <si>
    <t>160°, GB-BB, K00, ni</t>
  </si>
  <si>
    <t>F017139436</t>
  </si>
  <si>
    <t>160°, GB-BB, K03, ni</t>
  </si>
  <si>
    <t>F017139437</t>
  </si>
  <si>
    <t>160°, GB-BB, K95, ni</t>
  </si>
  <si>
    <t>F017139438</t>
  </si>
  <si>
    <t>95°, GB-BB, K00, ni</t>
  </si>
  <si>
    <t>F017139439</t>
  </si>
  <si>
    <t>95°, GB-BB, K03, ni</t>
  </si>
  <si>
    <t>F017139440</t>
  </si>
  <si>
    <t>95°, GB-BB, K95, ni</t>
  </si>
  <si>
    <t>F017139441</t>
  </si>
  <si>
    <t>95°, GB-BB, K19, ni</t>
  </si>
  <si>
    <t>F017139499</t>
  </si>
  <si>
    <t>110°, HS-BB, K00, ni</t>
  </si>
  <si>
    <t>F017139500</t>
  </si>
  <si>
    <t>110°, HS-BB, K03, ni</t>
  </si>
  <si>
    <t>F017139501</t>
  </si>
  <si>
    <t>110°, HS-BB, K95, ni</t>
  </si>
  <si>
    <t>F017139502</t>
  </si>
  <si>
    <t>110°, HS-BB, K19, ni</t>
  </si>
  <si>
    <t>F017139513</t>
  </si>
  <si>
    <t>120°, HS-BB, K00, ni</t>
  </si>
  <si>
    <t>F017139514</t>
  </si>
  <si>
    <t>120°, HS-BB, K03, ni</t>
  </si>
  <si>
    <t>F017139515</t>
  </si>
  <si>
    <t>120°, HS-BB, K95, ni</t>
  </si>
  <si>
    <t>F017139520</t>
  </si>
  <si>
    <t>160°, HS-BB, K00, ni</t>
  </si>
  <si>
    <t>F017139521</t>
  </si>
  <si>
    <t>160°, HS-BB, K03, ni</t>
  </si>
  <si>
    <t>F017139522</t>
  </si>
  <si>
    <t>160°, HS-BB, K95, ni</t>
  </si>
  <si>
    <t>F017139523</t>
  </si>
  <si>
    <t>95°, HS-BB, K00, ni</t>
  </si>
  <si>
    <t>F017139524</t>
  </si>
  <si>
    <t>95°, HS-BB, K03, ni</t>
  </si>
  <si>
    <t>F017139525</t>
  </si>
  <si>
    <t>95°, HS-BB, K95, ni</t>
  </si>
  <si>
    <t>F017139526</t>
  </si>
  <si>
    <t>95°, HS-BB, K19, ni</t>
  </si>
  <si>
    <t>F017139555</t>
  </si>
  <si>
    <t>120°, HS-BB, K19, ni</t>
  </si>
  <si>
    <t>F017139558</t>
  </si>
  <si>
    <t>120°, GB-BB, K19, ni</t>
  </si>
  <si>
    <t>TIOMOS Scharnier T Impresso</t>
  </si>
  <si>
    <t>F034139301</t>
  </si>
  <si>
    <t>F034139302</t>
  </si>
  <si>
    <t>F034139303</t>
  </si>
  <si>
    <t>F034139314</t>
  </si>
  <si>
    <t>F034139315</t>
  </si>
  <si>
    <t>F034139316</t>
  </si>
  <si>
    <t>F034139317</t>
  </si>
  <si>
    <t>F034139321</t>
  </si>
  <si>
    <t>F034139322</t>
  </si>
  <si>
    <t>F034139323</t>
  </si>
  <si>
    <t>F034139324</t>
  </si>
  <si>
    <t>F034139325</t>
  </si>
  <si>
    <t>F034139326</t>
  </si>
  <si>
    <t>F034139327</t>
  </si>
  <si>
    <t>F034139385</t>
  </si>
  <si>
    <t>F034139386</t>
  </si>
  <si>
    <t>F034139387</t>
  </si>
  <si>
    <t>F034139388</t>
  </si>
  <si>
    <t>F034139399</t>
  </si>
  <si>
    <t>F034139400</t>
  </si>
  <si>
    <t>F034139401</t>
  </si>
  <si>
    <t>F034139406</t>
  </si>
  <si>
    <t>F034139407</t>
  </si>
  <si>
    <t>F034139408</t>
  </si>
  <si>
    <t>F034139409</t>
  </si>
  <si>
    <t>F034139410</t>
  </si>
  <si>
    <t>F034139411</t>
  </si>
  <si>
    <t>F034139412</t>
  </si>
  <si>
    <t>F034139470</t>
  </si>
  <si>
    <t>F034139471</t>
  </si>
  <si>
    <t>F034139472</t>
  </si>
  <si>
    <t>F034139473</t>
  </si>
  <si>
    <t>F034139484</t>
  </si>
  <si>
    <t>F034139485</t>
  </si>
  <si>
    <t>F034139486</t>
  </si>
  <si>
    <t>F034139491</t>
  </si>
  <si>
    <t>F034139492</t>
  </si>
  <si>
    <t>F034139493</t>
  </si>
  <si>
    <t>F034139494</t>
  </si>
  <si>
    <t>F034139495</t>
  </si>
  <si>
    <t>F034139496</t>
  </si>
  <si>
    <t>F034139497</t>
  </si>
  <si>
    <t>F034139556</t>
  </si>
  <si>
    <t>F034139559</t>
  </si>
  <si>
    <t>TIOMOS Scharnier TT Impresso</t>
  </si>
  <si>
    <t>F035139358</t>
  </si>
  <si>
    <t>F035139359</t>
  </si>
  <si>
    <t>F035139360</t>
  </si>
  <si>
    <t>F035139371</t>
  </si>
  <si>
    <t>F035139372</t>
  </si>
  <si>
    <t>F035139373</t>
  </si>
  <si>
    <t>F035139374</t>
  </si>
  <si>
    <t>F035139378</t>
  </si>
  <si>
    <t>F035139379</t>
  </si>
  <si>
    <t>F035139380</t>
  </si>
  <si>
    <t>F035139381</t>
  </si>
  <si>
    <t>F035139382</t>
  </si>
  <si>
    <t>F035139383</t>
  </si>
  <si>
    <t>F035139384</t>
  </si>
  <si>
    <t>F035139442</t>
  </si>
  <si>
    <t>F035139443</t>
  </si>
  <si>
    <t>F035139444</t>
  </si>
  <si>
    <t>F035139445</t>
  </si>
  <si>
    <t>F035139456</t>
  </si>
  <si>
    <t>F035139457</t>
  </si>
  <si>
    <t>F035139458</t>
  </si>
  <si>
    <t>F035139463</t>
  </si>
  <si>
    <t>F035139464</t>
  </si>
  <si>
    <t>F035139465</t>
  </si>
  <si>
    <t>F035139466</t>
  </si>
  <si>
    <t>F035139467</t>
  </si>
  <si>
    <t>F035139468</t>
  </si>
  <si>
    <t>F035139469</t>
  </si>
  <si>
    <t>F035139527</t>
  </si>
  <si>
    <t>F035139528</t>
  </si>
  <si>
    <t>F035139529</t>
  </si>
  <si>
    <t>F035139530</t>
  </si>
  <si>
    <t>F035139541</t>
  </si>
  <si>
    <t>F035139542</t>
  </si>
  <si>
    <t>F035139543</t>
  </si>
  <si>
    <t>F035139548</t>
  </si>
  <si>
    <t>F035139549</t>
  </si>
  <si>
    <t>F035139550</t>
  </si>
  <si>
    <t>F035139551</t>
  </si>
  <si>
    <t>F035139552</t>
  </si>
  <si>
    <t>F035139553</t>
  </si>
  <si>
    <t>F035139554</t>
  </si>
  <si>
    <t>F035139557</t>
  </si>
  <si>
    <t>F035139560</t>
  </si>
  <si>
    <t>F028138093</t>
  </si>
  <si>
    <t>TIOMOS Scharnier TS Click-on</t>
  </si>
  <si>
    <t>110°, M-BB, K00, ni</t>
  </si>
  <si>
    <t>Tiomos Click-On Scharniere</t>
  </si>
  <si>
    <t>F028138094</t>
  </si>
  <si>
    <t>110°, M-BB, K03, ni</t>
  </si>
  <si>
    <t>F028138095</t>
  </si>
  <si>
    <t>110°, M-BB, K95, ni</t>
  </si>
  <si>
    <t>F028138096</t>
  </si>
  <si>
    <t>110°, M-BB, K19, ni</t>
  </si>
  <si>
    <t>F028138097</t>
  </si>
  <si>
    <t>F028138098</t>
  </si>
  <si>
    <t>F028138099</t>
  </si>
  <si>
    <t>F028138100</t>
  </si>
  <si>
    <t>F028138121</t>
  </si>
  <si>
    <t>120°, M-BB, K00, ni</t>
  </si>
  <si>
    <t>F028138122</t>
  </si>
  <si>
    <t>120°, M-BB, K03, ni</t>
  </si>
  <si>
    <t>F028138123</t>
  </si>
  <si>
    <t>120°, M-BB, K95, ni</t>
  </si>
  <si>
    <t>F028138125</t>
  </si>
  <si>
    <t>F028138126</t>
  </si>
  <si>
    <t>F028138127</t>
  </si>
  <si>
    <t>F028138135</t>
  </si>
  <si>
    <t>160°, M-BB, K00, ni</t>
  </si>
  <si>
    <t>F028138136</t>
  </si>
  <si>
    <t>160°, M-BB, K03, ni</t>
  </si>
  <si>
    <t>F028138137</t>
  </si>
  <si>
    <t>160°, M-BB, K95, ni</t>
  </si>
  <si>
    <t>F028138138</t>
  </si>
  <si>
    <t>F028138139</t>
  </si>
  <si>
    <t>F028138140</t>
  </si>
  <si>
    <t>F028138141</t>
  </si>
  <si>
    <t>95°, M-BB, K00, ni</t>
  </si>
  <si>
    <t>F028138142</t>
  </si>
  <si>
    <t>95°, M-BB, K03, ni</t>
  </si>
  <si>
    <t>F028138143</t>
  </si>
  <si>
    <t>95°, M-BB, K95, ni</t>
  </si>
  <si>
    <t>F028138144</t>
  </si>
  <si>
    <t>95°, M-BB, K19, ni</t>
  </si>
  <si>
    <t>F028138145</t>
  </si>
  <si>
    <t>F028138146</t>
  </si>
  <si>
    <t>F028138147</t>
  </si>
  <si>
    <t>F028138148</t>
  </si>
  <si>
    <t>F028138337</t>
  </si>
  <si>
    <t>110°, G-BB, K00, ni</t>
  </si>
  <si>
    <t>F028138338</t>
  </si>
  <si>
    <t>110°, G-BB, K03, ni</t>
  </si>
  <si>
    <t>F028138339</t>
  </si>
  <si>
    <t>110°, G-BB, K95, ni</t>
  </si>
  <si>
    <t>F028138340</t>
  </si>
  <si>
    <t>110°, G-BB, K19, ni</t>
  </si>
  <si>
    <t>F028138341</t>
  </si>
  <si>
    <t>F028138342</t>
  </si>
  <si>
    <t>F028138343</t>
  </si>
  <si>
    <t>F028138344</t>
  </si>
  <si>
    <t>F028138365</t>
  </si>
  <si>
    <t>120°, G-BB, K00, ni</t>
  </si>
  <si>
    <t>F028138366</t>
  </si>
  <si>
    <t>120°, G-BB, K03, ni</t>
  </si>
  <si>
    <t>F028138367</t>
  </si>
  <si>
    <t>120°, G-BB, K95, ni</t>
  </si>
  <si>
    <t>F028138369</t>
  </si>
  <si>
    <t>F028138370</t>
  </si>
  <si>
    <t>F028138371</t>
  </si>
  <si>
    <t>F028138379</t>
  </si>
  <si>
    <t>160°, G-BB, K00, ni</t>
  </si>
  <si>
    <t>F028138380</t>
  </si>
  <si>
    <t>160°, G-BB, K03, ni</t>
  </si>
  <si>
    <t>F028138381</t>
  </si>
  <si>
    <t>160°, G-BB, K95, ni</t>
  </si>
  <si>
    <t>F028138382</t>
  </si>
  <si>
    <t>F028138383</t>
  </si>
  <si>
    <t>F028138384</t>
  </si>
  <si>
    <t>F028138385</t>
  </si>
  <si>
    <t>95°, G-BB, K00, ni</t>
  </si>
  <si>
    <t>F028138386</t>
  </si>
  <si>
    <t>95°, G-BB, K03, ni</t>
  </si>
  <si>
    <t>F028138387</t>
  </si>
  <si>
    <t>95°, G-BB, K95, ni</t>
  </si>
  <si>
    <t>F028138388</t>
  </si>
  <si>
    <t>95°, G-BB, K19, ni</t>
  </si>
  <si>
    <t>F028138389</t>
  </si>
  <si>
    <t>F028138390</t>
  </si>
  <si>
    <t>F028138391</t>
  </si>
  <si>
    <t>F028138392</t>
  </si>
  <si>
    <t>110°, B-BB, K00, ni</t>
  </si>
  <si>
    <t>F028138520</t>
  </si>
  <si>
    <t>110°, B-BB, K03, ni</t>
  </si>
  <si>
    <t>F028138521</t>
  </si>
  <si>
    <t>110°, B-BB, K95, ni</t>
  </si>
  <si>
    <t>F028138522</t>
  </si>
  <si>
    <t>110°, B-BB, K19, ni</t>
  </si>
  <si>
    <t>F028138524</t>
  </si>
  <si>
    <t>F028138525</t>
  </si>
  <si>
    <t>F028138526</t>
  </si>
  <si>
    <t>F028138547</t>
  </si>
  <si>
    <t>120°, B-BB, K00, ni</t>
  </si>
  <si>
    <t>F028138548</t>
  </si>
  <si>
    <t>120°, B-BB, K03, ni</t>
  </si>
  <si>
    <t>F028138549</t>
  </si>
  <si>
    <t>120°, B-BB, K95, ni</t>
  </si>
  <si>
    <t>F028138550</t>
  </si>
  <si>
    <t>120°, B-BB, K19, ni</t>
  </si>
  <si>
    <t>F028138551</t>
  </si>
  <si>
    <t>F028138552</t>
  </si>
  <si>
    <t>F028138553</t>
  </si>
  <si>
    <t>F028138554</t>
  </si>
  <si>
    <t>F028138561</t>
  </si>
  <si>
    <t>160°, B-BB, K00, ni</t>
  </si>
  <si>
    <t>F028138562</t>
  </si>
  <si>
    <t>160°, B-BB, K03, ni</t>
  </si>
  <si>
    <t>F028138563</t>
  </si>
  <si>
    <t>160°, B-BB, K95, ni</t>
  </si>
  <si>
    <t>F028138564</t>
  </si>
  <si>
    <t>F028138565</t>
  </si>
  <si>
    <t>F028138566</t>
  </si>
  <si>
    <t>F028138567</t>
  </si>
  <si>
    <t>95°, B-BB, K00, ni</t>
  </si>
  <si>
    <t>F028138568</t>
  </si>
  <si>
    <t>95°, B-BB, K03, ni</t>
  </si>
  <si>
    <t>F028138569</t>
  </si>
  <si>
    <t>95°, B-BB, K95, ni</t>
  </si>
  <si>
    <t>F028138570</t>
  </si>
  <si>
    <t>95°, B-BB, K19, ni</t>
  </si>
  <si>
    <t>F028138571</t>
  </si>
  <si>
    <t>F028138572</t>
  </si>
  <si>
    <t>F028138573</t>
  </si>
  <si>
    <t>F028138574</t>
  </si>
  <si>
    <t>F028138701</t>
  </si>
  <si>
    <t>110°, H-BB, K00, ni</t>
  </si>
  <si>
    <t>F028138702</t>
  </si>
  <si>
    <t>110°, H-BB, K03, ni</t>
  </si>
  <si>
    <t>F028138703</t>
  </si>
  <si>
    <t>110°, H-BB, K95, ni</t>
  </si>
  <si>
    <t>F028138704</t>
  </si>
  <si>
    <t>110°, H-BB, K19, ni</t>
  </si>
  <si>
    <t>F028138705</t>
  </si>
  <si>
    <t>F028138706</t>
  </si>
  <si>
    <t>F028138707</t>
  </si>
  <si>
    <t>F028138708</t>
  </si>
  <si>
    <t>F028138729</t>
  </si>
  <si>
    <t>120°, H-BB, K00, ni</t>
  </si>
  <si>
    <t>F028138730</t>
  </si>
  <si>
    <t>120°, H-BB, K03, ni</t>
  </si>
  <si>
    <t>F028138731</t>
  </si>
  <si>
    <t>120°, H-BB, K95, ni</t>
  </si>
  <si>
    <t>F028138733</t>
  </si>
  <si>
    <t>F028138734</t>
  </si>
  <si>
    <t>F028138735</t>
  </si>
  <si>
    <t>F028138743</t>
  </si>
  <si>
    <t>160°, H-BB, K00, ni</t>
  </si>
  <si>
    <t>F028138744</t>
  </si>
  <si>
    <t>160°, H-BB, K03, ni</t>
  </si>
  <si>
    <t>F028138745</t>
  </si>
  <si>
    <t>160°, H-BB, K95, ni</t>
  </si>
  <si>
    <t>F028138746</t>
  </si>
  <si>
    <t>F028138747</t>
  </si>
  <si>
    <t>F028138748</t>
  </si>
  <si>
    <t>F028138749</t>
  </si>
  <si>
    <t>95°, H-BB, K00, ni</t>
  </si>
  <si>
    <t>F028138750</t>
  </si>
  <si>
    <t>95°, H-BB, K03, ni</t>
  </si>
  <si>
    <t>F028138751</t>
  </si>
  <si>
    <t>95°, H-BB, K95, ni</t>
  </si>
  <si>
    <t>F028138752</t>
  </si>
  <si>
    <t>95°, H-BB, K19, ni</t>
  </si>
  <si>
    <t>F028138753</t>
  </si>
  <si>
    <t>F028138754</t>
  </si>
  <si>
    <t>F028138755</t>
  </si>
  <si>
    <t>F028138756</t>
  </si>
  <si>
    <t>F028138883</t>
  </si>
  <si>
    <t>110°, S-BB, K00, ni</t>
  </si>
  <si>
    <t>F028138884</t>
  </si>
  <si>
    <t>110°, S-BB, K03, ni</t>
  </si>
  <si>
    <t>F028138885</t>
  </si>
  <si>
    <t>110°, S-BB, K95, ni</t>
  </si>
  <si>
    <t>F028138886</t>
  </si>
  <si>
    <t>110°, S-BB, K19, ni</t>
  </si>
  <si>
    <t>F028138887</t>
  </si>
  <si>
    <t>F028138888</t>
  </si>
  <si>
    <t>F028138889</t>
  </si>
  <si>
    <t>F028138890</t>
  </si>
  <si>
    <t>F028138911</t>
  </si>
  <si>
    <t>120°, S-BB, K00, ni</t>
  </si>
  <si>
    <t>F028138912</t>
  </si>
  <si>
    <t>120°, S-BB, K03, ni</t>
  </si>
  <si>
    <t>F028138913</t>
  </si>
  <si>
    <t>120°, S-BB, K95, ni</t>
  </si>
  <si>
    <t>F028138915</t>
  </si>
  <si>
    <t>F028138916</t>
  </si>
  <si>
    <t>F028138917</t>
  </si>
  <si>
    <t>F028138925</t>
  </si>
  <si>
    <t>160°, S-BB, K00, ni</t>
  </si>
  <si>
    <t>F028138926</t>
  </si>
  <si>
    <t>160°, S-BB, K03, ni</t>
  </si>
  <si>
    <t>F028138927</t>
  </si>
  <si>
    <t>160°, S-BB, K95, ni</t>
  </si>
  <si>
    <t>F028138928</t>
  </si>
  <si>
    <t>F028138929</t>
  </si>
  <si>
    <t>F028138930</t>
  </si>
  <si>
    <t>F028138931</t>
  </si>
  <si>
    <t>95°, S-BB, K00, ni</t>
  </si>
  <si>
    <t>F028138932</t>
  </si>
  <si>
    <t>95°, S-BB, K03, ni</t>
  </si>
  <si>
    <t>F028138933</t>
  </si>
  <si>
    <t>95°, S-BB, K95, ni</t>
  </si>
  <si>
    <t>F028138934</t>
  </si>
  <si>
    <t>95°, S-BB, K19, ni</t>
  </si>
  <si>
    <t>F028138935</t>
  </si>
  <si>
    <t>F028138936</t>
  </si>
  <si>
    <t>F028138937</t>
  </si>
  <si>
    <t>F028138938</t>
  </si>
  <si>
    <t>F028139017</t>
  </si>
  <si>
    <t>120°, M-BB, K19, ni</t>
  </si>
  <si>
    <t>F028139018</t>
  </si>
  <si>
    <t>F028139022</t>
  </si>
  <si>
    <t>120°, H-BB, K19, ni</t>
  </si>
  <si>
    <t>F028139023</t>
  </si>
  <si>
    <t>F028139027</t>
  </si>
  <si>
    <t>120°, G-BB, K19, ni</t>
  </si>
  <si>
    <t>F028139028</t>
  </si>
  <si>
    <t>F028139032</t>
  </si>
  <si>
    <t>120°, S-BB, K19, ni</t>
  </si>
  <si>
    <t>F028139033</t>
  </si>
  <si>
    <t>F045138000</t>
  </si>
  <si>
    <t>TIOMOS Scharnier T Click-on</t>
  </si>
  <si>
    <t>F045138001</t>
  </si>
  <si>
    <t>F045138002</t>
  </si>
  <si>
    <t>F045138003</t>
  </si>
  <si>
    <t>F045138004</t>
  </si>
  <si>
    <t>F045138005</t>
  </si>
  <si>
    <t>F045138006</t>
  </si>
  <si>
    <t>F045138007</t>
  </si>
  <si>
    <t>F045138028</t>
  </si>
  <si>
    <t>F045138029</t>
  </si>
  <si>
    <t>F045138030</t>
  </si>
  <si>
    <t>F045138032</t>
  </si>
  <si>
    <t>F045138033</t>
  </si>
  <si>
    <t>F045138034</t>
  </si>
  <si>
    <t>F045138042</t>
  </si>
  <si>
    <t>F045138043</t>
  </si>
  <si>
    <t>F045138044</t>
  </si>
  <si>
    <t>F045138045</t>
  </si>
  <si>
    <t>F045138046</t>
  </si>
  <si>
    <t>F045138047</t>
  </si>
  <si>
    <t>F045138048</t>
  </si>
  <si>
    <t>F045138049</t>
  </si>
  <si>
    <t>F045138050</t>
  </si>
  <si>
    <t>F045138051</t>
  </si>
  <si>
    <t>F045138052</t>
  </si>
  <si>
    <t>F045138053</t>
  </si>
  <si>
    <t>F045138054</t>
  </si>
  <si>
    <t>F045138055</t>
  </si>
  <si>
    <t>F045138275</t>
  </si>
  <si>
    <t>F045138276</t>
  </si>
  <si>
    <t>F045138277</t>
  </si>
  <si>
    <t>F045138278</t>
  </si>
  <si>
    <t>F045138279</t>
  </si>
  <si>
    <t>F045138280</t>
  </si>
  <si>
    <t>F045138281</t>
  </si>
  <si>
    <t>F045138282</t>
  </si>
  <si>
    <t>F045138303</t>
  </si>
  <si>
    <t>F045138304</t>
  </si>
  <si>
    <t>F045138305</t>
  </si>
  <si>
    <t>F045138307</t>
  </si>
  <si>
    <t>F045138308</t>
  </si>
  <si>
    <t>F045138309</t>
  </si>
  <si>
    <t>F045138317</t>
  </si>
  <si>
    <t>F045138318</t>
  </si>
  <si>
    <t>F045138319</t>
  </si>
  <si>
    <t>F045138320</t>
  </si>
  <si>
    <t>F045138321</t>
  </si>
  <si>
    <t>F045138322</t>
  </si>
  <si>
    <t>F045138323</t>
  </si>
  <si>
    <t>F045138324</t>
  </si>
  <si>
    <t>F045138325</t>
  </si>
  <si>
    <t>F045138326</t>
  </si>
  <si>
    <t>F045138327</t>
  </si>
  <si>
    <t>F045138328</t>
  </si>
  <si>
    <t>F045138329</t>
  </si>
  <si>
    <t>F045138330</t>
  </si>
  <si>
    <t>F045138457</t>
  </si>
  <si>
    <t>F045138458</t>
  </si>
  <si>
    <t>F045138459</t>
  </si>
  <si>
    <t>F045138460</t>
  </si>
  <si>
    <t>F045138462</t>
  </si>
  <si>
    <t>F045138463</t>
  </si>
  <si>
    <t>F045138464</t>
  </si>
  <si>
    <t>F045138485</t>
  </si>
  <si>
    <t>F045138486</t>
  </si>
  <si>
    <t>F045138487</t>
  </si>
  <si>
    <t>F045138488</t>
  </si>
  <si>
    <t>F045138489</t>
  </si>
  <si>
    <t>F045138490</t>
  </si>
  <si>
    <t>F045138491</t>
  </si>
  <si>
    <t>F045138492</t>
  </si>
  <si>
    <t>F045138499</t>
  </si>
  <si>
    <t>F045138500</t>
  </si>
  <si>
    <t>F045138501</t>
  </si>
  <si>
    <t>F045138502</t>
  </si>
  <si>
    <t>F045138503</t>
  </si>
  <si>
    <t>F045138504</t>
  </si>
  <si>
    <t>F045138505</t>
  </si>
  <si>
    <t>F045138506</t>
  </si>
  <si>
    <t>F045138507</t>
  </si>
  <si>
    <t>F045138508</t>
  </si>
  <si>
    <t>F045138509</t>
  </si>
  <si>
    <t>F045138510</t>
  </si>
  <si>
    <t>F045138511</t>
  </si>
  <si>
    <t>F045138512</t>
  </si>
  <si>
    <t>F045138639</t>
  </si>
  <si>
    <t>F045138640</t>
  </si>
  <si>
    <t>F045138641</t>
  </si>
  <si>
    <t>F045138642</t>
  </si>
  <si>
    <t>F045138643</t>
  </si>
  <si>
    <t>F045138644</t>
  </si>
  <si>
    <t>F045138645</t>
  </si>
  <si>
    <t>F045138646</t>
  </si>
  <si>
    <t>F045138667</t>
  </si>
  <si>
    <t>F045138668</t>
  </si>
  <si>
    <t>F045138669</t>
  </si>
  <si>
    <t>F045138671</t>
  </si>
  <si>
    <t>F045138672</t>
  </si>
  <si>
    <t>F045138673</t>
  </si>
  <si>
    <t>F045138681</t>
  </si>
  <si>
    <t>F045138682</t>
  </si>
  <si>
    <t>F045138683</t>
  </si>
  <si>
    <t>F045138684</t>
  </si>
  <si>
    <t>F045138685</t>
  </si>
  <si>
    <t>F045138686</t>
  </si>
  <si>
    <t>F045138687</t>
  </si>
  <si>
    <t>F045138688</t>
  </si>
  <si>
    <t>F045138689</t>
  </si>
  <si>
    <t>F045138690</t>
  </si>
  <si>
    <t>F045138691</t>
  </si>
  <si>
    <t>F045138692</t>
  </si>
  <si>
    <t>F045138693</t>
  </si>
  <si>
    <t>F045138694</t>
  </si>
  <si>
    <t>F045138821</t>
  </si>
  <si>
    <t>F045138822</t>
  </si>
  <si>
    <t>F045138823</t>
  </si>
  <si>
    <t>F045138824</t>
  </si>
  <si>
    <t>F045138825</t>
  </si>
  <si>
    <t>F045138826</t>
  </si>
  <si>
    <t>F045138827</t>
  </si>
  <si>
    <t>F045138828</t>
  </si>
  <si>
    <t>F045138849</t>
  </si>
  <si>
    <t>F045138850</t>
  </si>
  <si>
    <t>F045138851</t>
  </si>
  <si>
    <t>F045138853</t>
  </si>
  <si>
    <t>F045138854</t>
  </si>
  <si>
    <t>F045138855</t>
  </si>
  <si>
    <t>F045138863</t>
  </si>
  <si>
    <t>F045138864</t>
  </si>
  <si>
    <t>F045138865</t>
  </si>
  <si>
    <t>F045138866</t>
  </si>
  <si>
    <t>F045138867</t>
  </si>
  <si>
    <t>F045138868</t>
  </si>
  <si>
    <t>F045138869</t>
  </si>
  <si>
    <t>F045138870</t>
  </si>
  <si>
    <t>F045138871</t>
  </si>
  <si>
    <t>F045138872</t>
  </si>
  <si>
    <t>F045138873</t>
  </si>
  <si>
    <t>F045138874</t>
  </si>
  <si>
    <t>F045138875</t>
  </si>
  <si>
    <t>F045138876</t>
  </si>
  <si>
    <t>F045139019</t>
  </si>
  <si>
    <t>F045139020</t>
  </si>
  <si>
    <t>F045139024</t>
  </si>
  <si>
    <t>F045139025</t>
  </si>
  <si>
    <t>F045139029</t>
  </si>
  <si>
    <t>F045139030</t>
  </si>
  <si>
    <t>F045139034</t>
  </si>
  <si>
    <t>F045139035</t>
  </si>
  <si>
    <t>F045139039</t>
  </si>
  <si>
    <t>F045139043</t>
  </si>
  <si>
    <t>Scharnier T Click-on 110°</t>
  </si>
  <si>
    <t>F046138184</t>
  </si>
  <si>
    <t>TIOMOS Scharnier TT Click-on</t>
  </si>
  <si>
    <t>F046138185</t>
  </si>
  <si>
    <t>F046138186</t>
  </si>
  <si>
    <t>F046138187</t>
  </si>
  <si>
    <t>F046138188</t>
  </si>
  <si>
    <t>F046138189</t>
  </si>
  <si>
    <t>F046138190</t>
  </si>
  <si>
    <t>F046138191</t>
  </si>
  <si>
    <t>F046138212</t>
  </si>
  <si>
    <t>F046138213</t>
  </si>
  <si>
    <t>F046138214</t>
  </si>
  <si>
    <t>F046138216</t>
  </si>
  <si>
    <t>F046138217</t>
  </si>
  <si>
    <t>F046138218</t>
  </si>
  <si>
    <t>F046138226</t>
  </si>
  <si>
    <t>F046138227</t>
  </si>
  <si>
    <t>F046138228</t>
  </si>
  <si>
    <t>F046138229</t>
  </si>
  <si>
    <t>F046138230</t>
  </si>
  <si>
    <t>F046138231</t>
  </si>
  <si>
    <t>F046138232</t>
  </si>
  <si>
    <t>F046138233</t>
  </si>
  <si>
    <t>F046138234</t>
  </si>
  <si>
    <t>F046138235</t>
  </si>
  <si>
    <t>F046138236</t>
  </si>
  <si>
    <t>F046138237</t>
  </si>
  <si>
    <t>F046138238</t>
  </si>
  <si>
    <t>F046138239</t>
  </si>
  <si>
    <t>F046138397</t>
  </si>
  <si>
    <t>F046138398</t>
  </si>
  <si>
    <t>F046138399</t>
  </si>
  <si>
    <t>F046138400</t>
  </si>
  <si>
    <t>F046138401</t>
  </si>
  <si>
    <t>F046138402</t>
  </si>
  <si>
    <t>F046138403</t>
  </si>
  <si>
    <t>F046138404</t>
  </si>
  <si>
    <t>F046138425</t>
  </si>
  <si>
    <t>F046138426</t>
  </si>
  <si>
    <t>F046138427</t>
  </si>
  <si>
    <t>F046138429</t>
  </si>
  <si>
    <t>F046138430</t>
  </si>
  <si>
    <t>F046138431</t>
  </si>
  <si>
    <t>F046138439</t>
  </si>
  <si>
    <t>F046138440</t>
  </si>
  <si>
    <t>F046138441</t>
  </si>
  <si>
    <t>F046138442</t>
  </si>
  <si>
    <t>F046138443</t>
  </si>
  <si>
    <t>F046138444</t>
  </si>
  <si>
    <t>F046138445</t>
  </si>
  <si>
    <t>F046138446</t>
  </si>
  <si>
    <t>F046138447</t>
  </si>
  <si>
    <t>F046138448</t>
  </si>
  <si>
    <t>F046138449</t>
  </si>
  <si>
    <t>F046138450</t>
  </si>
  <si>
    <t>F046138451</t>
  </si>
  <si>
    <t>F046138452</t>
  </si>
  <si>
    <t>F046138580</t>
  </si>
  <si>
    <t>F046138581</t>
  </si>
  <si>
    <t>F046138582</t>
  </si>
  <si>
    <t>F046138583</t>
  </si>
  <si>
    <t>F046138584</t>
  </si>
  <si>
    <t>F046138585</t>
  </si>
  <si>
    <t>F046138586</t>
  </si>
  <si>
    <t>F046138607</t>
  </si>
  <si>
    <t>F046138608</t>
  </si>
  <si>
    <t>F046138609</t>
  </si>
  <si>
    <t>F046138610</t>
  </si>
  <si>
    <t>F046138611</t>
  </si>
  <si>
    <t>F046138612</t>
  </si>
  <si>
    <t>F046138613</t>
  </si>
  <si>
    <t>F046138614</t>
  </si>
  <si>
    <t>F046138621</t>
  </si>
  <si>
    <t>F046138622</t>
  </si>
  <si>
    <t>F046138623</t>
  </si>
  <si>
    <t>F046138624</t>
  </si>
  <si>
    <t>F046138625</t>
  </si>
  <si>
    <t>F046138626</t>
  </si>
  <si>
    <t>F046138627</t>
  </si>
  <si>
    <t>F046138628</t>
  </si>
  <si>
    <t>F046138629</t>
  </si>
  <si>
    <t>F046138630</t>
  </si>
  <si>
    <t>F046138631</t>
  </si>
  <si>
    <t>F046138632</t>
  </si>
  <si>
    <t>F046138633</t>
  </si>
  <si>
    <t>F046138634</t>
  </si>
  <si>
    <t>F046138761</t>
  </si>
  <si>
    <t>F046138762</t>
  </si>
  <si>
    <t>F046138763</t>
  </si>
  <si>
    <t>F046138764</t>
  </si>
  <si>
    <t>F046138765</t>
  </si>
  <si>
    <t>F046138766</t>
  </si>
  <si>
    <t>F046138767</t>
  </si>
  <si>
    <t>F046138768</t>
  </si>
  <si>
    <t>F046138789</t>
  </si>
  <si>
    <t>F046138790</t>
  </si>
  <si>
    <t>F046138791</t>
  </si>
  <si>
    <t>F046138793</t>
  </si>
  <si>
    <t>F046138794</t>
  </si>
  <si>
    <t>F046138795</t>
  </si>
  <si>
    <t>F046138803</t>
  </si>
  <si>
    <t>F046138804</t>
  </si>
  <si>
    <t>F046138805</t>
  </si>
  <si>
    <t>F046138806</t>
  </si>
  <si>
    <t>F046138807</t>
  </si>
  <si>
    <t>F046138808</t>
  </si>
  <si>
    <t>F046138809</t>
  </si>
  <si>
    <t>F046138810</t>
  </si>
  <si>
    <t>F046138811</t>
  </si>
  <si>
    <t>F046138812</t>
  </si>
  <si>
    <t>F046138813</t>
  </si>
  <si>
    <t>F046138814</t>
  </si>
  <si>
    <t>F046138815</t>
  </si>
  <si>
    <t>F046138816</t>
  </si>
  <si>
    <t>F046138943</t>
  </si>
  <si>
    <t>F046138944</t>
  </si>
  <si>
    <t>F046138945</t>
  </si>
  <si>
    <t>F046138946</t>
  </si>
  <si>
    <t>F046138947</t>
  </si>
  <si>
    <t>F046138948</t>
  </si>
  <si>
    <t>F046138949</t>
  </si>
  <si>
    <t>F046138950</t>
  </si>
  <si>
    <t>F046138971</t>
  </si>
  <si>
    <t>F046138972</t>
  </si>
  <si>
    <t>F046138973</t>
  </si>
  <si>
    <t>F046138975</t>
  </si>
  <si>
    <t>F046138976</t>
  </si>
  <si>
    <t>F046138977</t>
  </si>
  <si>
    <t>F046138985</t>
  </si>
  <si>
    <t>F046138986</t>
  </si>
  <si>
    <t>F046138987</t>
  </si>
  <si>
    <t>F046138988</t>
  </si>
  <si>
    <t>F046138989</t>
  </si>
  <si>
    <t>F046138990</t>
  </si>
  <si>
    <t>F046138991</t>
  </si>
  <si>
    <t>F046138992</t>
  </si>
  <si>
    <t>F046138993</t>
  </si>
  <si>
    <t>F046138994</t>
  </si>
  <si>
    <t>F046138995</t>
  </si>
  <si>
    <t>F046138996</t>
  </si>
  <si>
    <t>F046138997</t>
  </si>
  <si>
    <t>F046138998</t>
  </si>
  <si>
    <t>F046139021</t>
  </si>
  <si>
    <t>F046139026</t>
  </si>
  <si>
    <t>F046139031</t>
  </si>
  <si>
    <t>F046139036</t>
  </si>
  <si>
    <t>Teil</t>
  </si>
  <si>
    <t>zum einpressen</t>
  </si>
  <si>
    <t>zum anschrauben mit Holzschrauben</t>
  </si>
  <si>
    <t>zum anschrauben mit Euroschrauben</t>
  </si>
  <si>
    <t>vorm. Euro [13,5]</t>
  </si>
  <si>
    <t>vorm. Euro [10,5]</t>
  </si>
  <si>
    <t>F058139720</t>
  </si>
  <si>
    <t>Eco Kreuz Mtg-Platte TIOMOS</t>
  </si>
  <si>
    <t>H-02, ni /37</t>
  </si>
  <si>
    <t>Tiomos Montageplatten</t>
  </si>
  <si>
    <t>F058139721</t>
  </si>
  <si>
    <t>H 00, ni /37</t>
  </si>
  <si>
    <t>F058139722</t>
  </si>
  <si>
    <t>H 02, ni /37</t>
  </si>
  <si>
    <t>F058139723</t>
  </si>
  <si>
    <t>H 03, ni /37</t>
  </si>
  <si>
    <t>F058139724</t>
  </si>
  <si>
    <t>H 35, ni /37</t>
  </si>
  <si>
    <t>F058139725</t>
  </si>
  <si>
    <t>H-02, 10mm Dübel, ni /37</t>
  </si>
  <si>
    <t>F058139726</t>
  </si>
  <si>
    <t>H 00, 10mm Dübel, ni /37</t>
  </si>
  <si>
    <t>F058139727</t>
  </si>
  <si>
    <t>H 02, 10mm Dübel, ni /37</t>
  </si>
  <si>
    <t>F058139728</t>
  </si>
  <si>
    <t>H 03, 10mm Dübel, ni /37</t>
  </si>
  <si>
    <t>F058139729</t>
  </si>
  <si>
    <t>H 35, 10mm Dübel, ni /37</t>
  </si>
  <si>
    <t>F058139735</t>
  </si>
  <si>
    <t>H-02, vorm. PH Euro, ni /37</t>
  </si>
  <si>
    <t>F058139736</t>
  </si>
  <si>
    <t>H 00, vorm. PH Euro, ni /37</t>
  </si>
  <si>
    <t>F058139737</t>
  </si>
  <si>
    <t>H 02, vorm. PH Euro, ni /37</t>
  </si>
  <si>
    <t>F058139738</t>
  </si>
  <si>
    <t>H 03, vorm. PH Euro, ni /37</t>
  </si>
  <si>
    <t>F058139739</t>
  </si>
  <si>
    <t>H 35, vorm. PH Euro, ni /37</t>
  </si>
  <si>
    <t>F058139746</t>
  </si>
  <si>
    <t>1D Kreuz Mtg-Platte TIOMOS</t>
  </si>
  <si>
    <t>F058139747</t>
  </si>
  <si>
    <t>F058139748</t>
  </si>
  <si>
    <t>F058139749</t>
  </si>
  <si>
    <t>F058139756</t>
  </si>
  <si>
    <t>H 00, Euro, ni /37</t>
  </si>
  <si>
    <t>F058139757</t>
  </si>
  <si>
    <t>H 02, Euro, ni /37</t>
  </si>
  <si>
    <t>F058139758</t>
  </si>
  <si>
    <t>H 03, Euro, ni /37</t>
  </si>
  <si>
    <t>F058139759</t>
  </si>
  <si>
    <t>H 35, Euro, ni /37</t>
  </si>
  <si>
    <t>F058139761</t>
  </si>
  <si>
    <t>F058139762</t>
  </si>
  <si>
    <t>F058139763</t>
  </si>
  <si>
    <t>F058139764</t>
  </si>
  <si>
    <t>F058139785</t>
  </si>
  <si>
    <t>H-02, vorm. PH Euro, ni /28</t>
  </si>
  <si>
    <t>F058139786</t>
  </si>
  <si>
    <t>H 00, vorm. PH Euro, ni /28</t>
  </si>
  <si>
    <t>F058139787</t>
  </si>
  <si>
    <t>H 02, vorm. PH Euro, ni /28</t>
  </si>
  <si>
    <t>F058139788</t>
  </si>
  <si>
    <t>H 03, vorm. PH Euro, ni /28</t>
  </si>
  <si>
    <t>F058139789</t>
  </si>
  <si>
    <t>H 35, vorm. PH Euro, ni /28</t>
  </si>
  <si>
    <t>H 00, ni /28</t>
  </si>
  <si>
    <t>H 02, ni /28</t>
  </si>
  <si>
    <t>H 03, ni /28</t>
  </si>
  <si>
    <t>H 35, ni /28</t>
  </si>
  <si>
    <t>F058139801</t>
  </si>
  <si>
    <t>H 00, 10mm Dübel, ni /28</t>
  </si>
  <si>
    <t>F058139802</t>
  </si>
  <si>
    <t>H 02, 10mm Dübel, ni /28</t>
  </si>
  <si>
    <t>F058139803</t>
  </si>
  <si>
    <t>H 03, 10mm Dübel, ni /28</t>
  </si>
  <si>
    <t>F058139804</t>
  </si>
  <si>
    <t>H 35, 10mm Dübel, ni /28</t>
  </si>
  <si>
    <t>F058139811</t>
  </si>
  <si>
    <t>F058139812</t>
  </si>
  <si>
    <t>F058139813</t>
  </si>
  <si>
    <t>F058139814</t>
  </si>
  <si>
    <t>F058139857</t>
  </si>
  <si>
    <t>H-02, vorm. PH Euro kr, ni /37</t>
  </si>
  <si>
    <t>F058139858</t>
  </si>
  <si>
    <t>H 00, vorm. PH Euro kr, ni /37</t>
  </si>
  <si>
    <t>F058139859</t>
  </si>
  <si>
    <t>H 02, vorm. PH Euro kr, ni /37</t>
  </si>
  <si>
    <t>F058139860</t>
  </si>
  <si>
    <t>H 03, vorm. PH Euro kr, ni /37</t>
  </si>
  <si>
    <t>F058139861</t>
  </si>
  <si>
    <t>H 35, vorm. PH Euro kr, ni /37</t>
  </si>
  <si>
    <t>F058139863</t>
  </si>
  <si>
    <t>F058139864</t>
  </si>
  <si>
    <t>F058139865</t>
  </si>
  <si>
    <t>F058139866</t>
  </si>
  <si>
    <t>F058139873</t>
  </si>
  <si>
    <t>F058139874</t>
  </si>
  <si>
    <t>F058139875</t>
  </si>
  <si>
    <t>F058139879</t>
  </si>
  <si>
    <t>F058139880</t>
  </si>
  <si>
    <t>F058139881</t>
  </si>
  <si>
    <t>F058139882</t>
  </si>
  <si>
    <t>F058139883</t>
  </si>
  <si>
    <t>F058139884</t>
  </si>
  <si>
    <t>F058139885</t>
  </si>
  <si>
    <t>F058139886</t>
  </si>
  <si>
    <t>H 08, ni /37</t>
  </si>
  <si>
    <t>F058139887</t>
  </si>
  <si>
    <t>H 09, ni /37</t>
  </si>
  <si>
    <t>F058139888</t>
  </si>
  <si>
    <t>H 95, ni /37</t>
  </si>
  <si>
    <t>F058139889</t>
  </si>
  <si>
    <t>H 14, ni /37</t>
  </si>
  <si>
    <t>F058139890</t>
  </si>
  <si>
    <t>H 15, ni /37</t>
  </si>
  <si>
    <t>F058139891</t>
  </si>
  <si>
    <t>H 15.5, ni /37</t>
  </si>
  <si>
    <t>F058139892</t>
  </si>
  <si>
    <t>H 06, ni /37</t>
  </si>
  <si>
    <t>F058139893</t>
  </si>
  <si>
    <t>H 12, ni /37</t>
  </si>
  <si>
    <t>F058139894</t>
  </si>
  <si>
    <t>H 19, ni /37</t>
  </si>
  <si>
    <t>F058139895</t>
  </si>
  <si>
    <t>H 21, ni /37</t>
  </si>
  <si>
    <t>F058139896</t>
  </si>
  <si>
    <t>F059139701</t>
  </si>
  <si>
    <t>1D Linear Mtg-Platte TIOMOS</t>
  </si>
  <si>
    <t>H 00, ni</t>
  </si>
  <si>
    <t>F059139702</t>
  </si>
  <si>
    <t>H 02, ni</t>
  </si>
  <si>
    <t>F059139703</t>
  </si>
  <si>
    <t>H 03, ni</t>
  </si>
  <si>
    <t>F059139704</t>
  </si>
  <si>
    <t>H 35, ni</t>
  </si>
  <si>
    <t>F059139706</t>
  </si>
  <si>
    <t>H 00, 10mm Dübel, ni</t>
  </si>
  <si>
    <t>F059139707</t>
  </si>
  <si>
    <t>H 02, 10mm Dübel, ni</t>
  </si>
  <si>
    <t>F059139708</t>
  </si>
  <si>
    <t>H 03, 10mm Dübel, ni</t>
  </si>
  <si>
    <t>F059139709</t>
  </si>
  <si>
    <t>H 35, 10mm Dübel, ni</t>
  </si>
  <si>
    <t>F059139711</t>
  </si>
  <si>
    <t>F059139712</t>
  </si>
  <si>
    <t>F059139713</t>
  </si>
  <si>
    <t>F059139714</t>
  </si>
  <si>
    <t>F059139876</t>
  </si>
  <si>
    <t>Linear Distanzplatte Tiomos</t>
  </si>
  <si>
    <t>H-12, 10mm Dübel, ni</t>
  </si>
  <si>
    <t>F059139877</t>
  </si>
  <si>
    <t>H 12, 10mm Dübel, ni</t>
  </si>
  <si>
    <t>F059139879</t>
  </si>
  <si>
    <t>F059139911</t>
  </si>
  <si>
    <t>Sprache 11</t>
  </si>
  <si>
    <t>Sprache 12</t>
  </si>
  <si>
    <t>Sprache 13</t>
  </si>
  <si>
    <t>Sprache 14</t>
  </si>
  <si>
    <t>Sprache 15</t>
  </si>
  <si>
    <t>vorm. Euro</t>
  </si>
  <si>
    <t>vorm. Euro kurz</t>
  </si>
  <si>
    <t>Dübel</t>
  </si>
  <si>
    <t>Spreizdübel</t>
  </si>
  <si>
    <t>Multilock</t>
  </si>
  <si>
    <t>Spalte1</t>
  </si>
  <si>
    <t>Spalte2</t>
  </si>
  <si>
    <t>Spalte3</t>
  </si>
  <si>
    <t>Kreuz/linear</t>
  </si>
  <si>
    <t>2te Wahl Befestigung</t>
  </si>
  <si>
    <t>Befestigung</t>
  </si>
  <si>
    <t>Kröpfung 3</t>
  </si>
  <si>
    <t>Kröpfung 0</t>
  </si>
  <si>
    <t>Kröpfung 9,5</t>
  </si>
  <si>
    <t>Kröpfung 19</t>
  </si>
  <si>
    <t>Randbedingungen</t>
  </si>
  <si>
    <t>Gesamt</t>
  </si>
  <si>
    <t>Ergebnis</t>
  </si>
  <si>
    <t>Ta</t>
  </si>
  <si>
    <t>Winkel2</t>
  </si>
  <si>
    <t>alle</t>
  </si>
  <si>
    <t>Kröpfung auswahl</t>
  </si>
  <si>
    <t>h</t>
  </si>
  <si>
    <t>Lösungen</t>
  </si>
  <si>
    <t>offset</t>
  </si>
  <si>
    <t>Kröpfungauswahlmenü</t>
  </si>
  <si>
    <t>Lösung Montageplatte</t>
  </si>
  <si>
    <t>TIOMOS Selector</t>
  </si>
  <si>
    <t>Bitte Auswahl ändern</t>
  </si>
  <si>
    <t>Keine Lösung ….</t>
  </si>
  <si>
    <t>Kröpfung2</t>
  </si>
  <si>
    <t>Däpfung</t>
  </si>
  <si>
    <t>Impresso</t>
  </si>
  <si>
    <t>Click-on Einpressen</t>
  </si>
  <si>
    <t>Click-on Anschrauben</t>
  </si>
  <si>
    <t>Scharnier befestigung</t>
  </si>
  <si>
    <t>Scharnierbefestigung</t>
  </si>
  <si>
    <t>Scharnierauswahl</t>
  </si>
  <si>
    <t>Anordnung</t>
  </si>
  <si>
    <t xml:space="preserve">Befestigung </t>
  </si>
  <si>
    <t>mm</t>
  </si>
  <si>
    <t>kg</t>
  </si>
  <si>
    <t>Türgewicht</t>
  </si>
  <si>
    <t>Türhöhe</t>
  </si>
  <si>
    <t>Türbreite</t>
  </si>
  <si>
    <t>600 mm</t>
  </si>
  <si>
    <t>Für die Scharnierzahl entscheidende Faktoren</t>
  </si>
  <si>
    <t>sind Türhöhe, Türgewicht, Materialqualität, Topf-</t>
  </si>
  <si>
    <t>und Montageplattenbefestigung</t>
  </si>
  <si>
    <t xml:space="preserve">Die Belastungs- und Höhenangaben beziehen sich </t>
  </si>
  <si>
    <t>auf Normtürbreiten von 600mm. Im Zweifelsfall</t>
  </si>
  <si>
    <t>ist die Scharnierzahl durch einen Probeanschlag</t>
  </si>
  <si>
    <t>zu ermitteln.</t>
  </si>
  <si>
    <t>Beispiel:</t>
  </si>
  <si>
    <t>Bei einer Tür mit den Maßen 2000 x 600 mm und</t>
  </si>
  <si>
    <t>einem Gewicht von 13 kg wird der Einsatz von</t>
  </si>
  <si>
    <t>4 Scharnieren empfohlen.</t>
  </si>
  <si>
    <t>Das Diagramm bezieht sich auf Scharniere mit und</t>
  </si>
  <si>
    <t>ohne integrierte Dämpfung.</t>
  </si>
  <si>
    <t>Englisch</t>
  </si>
  <si>
    <t>Schwedisch</t>
  </si>
  <si>
    <t>Italienisch</t>
  </si>
  <si>
    <t>Spanisch</t>
  </si>
  <si>
    <t>Portugiesisch</t>
  </si>
  <si>
    <t>Türkisch</t>
  </si>
  <si>
    <t>中文</t>
  </si>
  <si>
    <t>Russisch</t>
  </si>
  <si>
    <t>language</t>
  </si>
  <si>
    <t>Språk</t>
  </si>
  <si>
    <t>Lingua</t>
  </si>
  <si>
    <t>Langue</t>
  </si>
  <si>
    <t>Idioma</t>
  </si>
  <si>
    <t>Lisan</t>
  </si>
  <si>
    <t>语言</t>
  </si>
  <si>
    <t>Язык</t>
  </si>
  <si>
    <t>Tyska</t>
  </si>
  <si>
    <t>Tedesco</t>
  </si>
  <si>
    <t>Allemand</t>
  </si>
  <si>
    <t>Alemán</t>
  </si>
  <si>
    <t xml:space="preserve">Alemão </t>
  </si>
  <si>
    <t>Almanca</t>
  </si>
  <si>
    <t>德语</t>
  </si>
  <si>
    <t>Немецкий</t>
  </si>
  <si>
    <t>English</t>
  </si>
  <si>
    <t>Engelska</t>
  </si>
  <si>
    <t>Inglese</t>
  </si>
  <si>
    <t>Anglais</t>
  </si>
  <si>
    <t>Inglés</t>
  </si>
  <si>
    <t>Inglês</t>
  </si>
  <si>
    <t>İngilizce</t>
  </si>
  <si>
    <t>英语</t>
  </si>
  <si>
    <t>Английский</t>
  </si>
  <si>
    <t>Swedish</t>
  </si>
  <si>
    <t>Svenska</t>
  </si>
  <si>
    <t>Svedese</t>
  </si>
  <si>
    <t>Suédois</t>
  </si>
  <si>
    <t>Sueco</t>
  </si>
  <si>
    <t>İsveççe</t>
  </si>
  <si>
    <t>瑞典语</t>
  </si>
  <si>
    <t>Шведский</t>
  </si>
  <si>
    <t>Italian</t>
  </si>
  <si>
    <t>Italienska</t>
  </si>
  <si>
    <t>Italiano</t>
  </si>
  <si>
    <t>Italien</t>
  </si>
  <si>
    <t>İtalyanca</t>
  </si>
  <si>
    <t>意大利语</t>
  </si>
  <si>
    <t>Итальянский</t>
  </si>
  <si>
    <t>Französich</t>
  </si>
  <si>
    <t>French</t>
  </si>
  <si>
    <t>Franska</t>
  </si>
  <si>
    <t>Francese</t>
  </si>
  <si>
    <t>Français</t>
  </si>
  <si>
    <t>Francés</t>
  </si>
  <si>
    <t>Frances</t>
  </si>
  <si>
    <t>Fransızca</t>
  </si>
  <si>
    <t>法语</t>
  </si>
  <si>
    <t>Французский</t>
  </si>
  <si>
    <t>Spanish</t>
  </si>
  <si>
    <t>Spanska</t>
  </si>
  <si>
    <t>Spagnolo</t>
  </si>
  <si>
    <t>Espagnol</t>
  </si>
  <si>
    <t>Español</t>
  </si>
  <si>
    <t>Espanhol</t>
  </si>
  <si>
    <t>İspanyolca</t>
  </si>
  <si>
    <t>西班牙语</t>
  </si>
  <si>
    <t>Испанский</t>
  </si>
  <si>
    <t>Portuguese</t>
  </si>
  <si>
    <t>Portugisiska</t>
  </si>
  <si>
    <t>Portoghese</t>
  </si>
  <si>
    <t>Portugais</t>
  </si>
  <si>
    <t>Portugués</t>
  </si>
  <si>
    <t>Português</t>
  </si>
  <si>
    <t>Portekizce</t>
  </si>
  <si>
    <t>葡萄牙语</t>
  </si>
  <si>
    <t>Португальский</t>
  </si>
  <si>
    <t>Turkish</t>
  </si>
  <si>
    <t>Turkiska</t>
  </si>
  <si>
    <t>Turco</t>
  </si>
  <si>
    <t>Turc</t>
  </si>
  <si>
    <t>Türkçe</t>
  </si>
  <si>
    <t>土耳其语</t>
  </si>
  <si>
    <t>Турецкий</t>
  </si>
  <si>
    <t>Chinesisch</t>
  </si>
  <si>
    <t>Chinese</t>
  </si>
  <si>
    <t>Kinesiska</t>
  </si>
  <si>
    <t>Cinese</t>
  </si>
  <si>
    <t>Chinois</t>
  </si>
  <si>
    <t>Chino</t>
  </si>
  <si>
    <t>Chinês</t>
  </si>
  <si>
    <t>Çince</t>
  </si>
  <si>
    <t>Китайский</t>
  </si>
  <si>
    <t>Russian</t>
  </si>
  <si>
    <t>Rysk</t>
  </si>
  <si>
    <t>Russo</t>
  </si>
  <si>
    <t>Russe</t>
  </si>
  <si>
    <t>Ruso</t>
  </si>
  <si>
    <t>Rusça</t>
  </si>
  <si>
    <t xml:space="preserve"> 俄语</t>
  </si>
  <si>
    <t>Pу́сский язы́к</t>
  </si>
  <si>
    <t>MDF-Werkstoff</t>
  </si>
  <si>
    <t>MDF material</t>
  </si>
  <si>
    <t>Materiale MDF</t>
  </si>
  <si>
    <t>Matériau MDF</t>
  </si>
  <si>
    <t>Material de MDF</t>
  </si>
  <si>
    <t>MDF</t>
  </si>
  <si>
    <t>中纤板材料</t>
  </si>
  <si>
    <t>Материал МДФ</t>
  </si>
  <si>
    <t>Spanplatte</t>
  </si>
  <si>
    <t>Chipboard</t>
  </si>
  <si>
    <t>spånskiva</t>
  </si>
  <si>
    <t>Pannello di truciolato</t>
  </si>
  <si>
    <t>Panneaux de particules</t>
  </si>
  <si>
    <t>Tablero de aglomerado</t>
  </si>
  <si>
    <t>Aglomerado</t>
  </si>
  <si>
    <t>Sunta</t>
  </si>
  <si>
    <t>刨花板</t>
  </si>
  <si>
    <t>ДСП</t>
  </si>
  <si>
    <t>Fichte / Kiefer</t>
  </si>
  <si>
    <t>Spruce / Pine</t>
  </si>
  <si>
    <t>Gran / Fur</t>
  </si>
  <si>
    <t>Abete rosso/ pino</t>
  </si>
  <si>
    <t>Pin / Epicéa</t>
  </si>
  <si>
    <t>Picea / Pino</t>
  </si>
  <si>
    <t>Abeto/ Pinheiro</t>
  </si>
  <si>
    <t>Massiv</t>
  </si>
  <si>
    <t>杉木/松木</t>
  </si>
  <si>
    <t>Ель/сосна</t>
  </si>
  <si>
    <t>Glas</t>
  </si>
  <si>
    <t>Glass</t>
  </si>
  <si>
    <t>glas</t>
  </si>
  <si>
    <t>vetro</t>
  </si>
  <si>
    <t>verre</t>
  </si>
  <si>
    <t>vidrio</t>
  </si>
  <si>
    <t>Vidro</t>
  </si>
  <si>
    <t>Cam</t>
  </si>
  <si>
    <t>玻璃</t>
  </si>
  <si>
    <t>Стекло</t>
  </si>
  <si>
    <t>-----------------</t>
  </si>
  <si>
    <t>Afrormosia</t>
  </si>
  <si>
    <t>Afromosia</t>
  </si>
  <si>
    <t>红豆木</t>
  </si>
  <si>
    <t>Афромозия</t>
  </si>
  <si>
    <t>Ahorn</t>
  </si>
  <si>
    <t>Maple</t>
  </si>
  <si>
    <t>Lönn</t>
  </si>
  <si>
    <t>Acero</t>
  </si>
  <si>
    <t>L´érable</t>
  </si>
  <si>
    <t>Arce</t>
  </si>
  <si>
    <t>Ácer</t>
  </si>
  <si>
    <t>İsfendan ağacı</t>
  </si>
  <si>
    <t>枫木</t>
  </si>
  <si>
    <t>Клен</t>
  </si>
  <si>
    <t>Amerikanische Linde</t>
  </si>
  <si>
    <t>Basswood</t>
  </si>
  <si>
    <t>Lind</t>
  </si>
  <si>
    <t>Tiglio americano</t>
  </si>
  <si>
    <t>Ttilleul</t>
  </si>
  <si>
    <t>Tilo</t>
  </si>
  <si>
    <t>Tília americana</t>
  </si>
  <si>
    <t>Amerikan ıhlamur ağacı</t>
  </si>
  <si>
    <t>椴木</t>
  </si>
  <si>
    <t>Американская липа</t>
  </si>
  <si>
    <t>Apfel</t>
  </si>
  <si>
    <t>Apple</t>
  </si>
  <si>
    <t>Apel</t>
  </si>
  <si>
    <t>Melo</t>
  </si>
  <si>
    <t>Pommier</t>
  </si>
  <si>
    <t>Manzana</t>
  </si>
  <si>
    <t>maçã</t>
  </si>
  <si>
    <t>Elma Ağacı</t>
  </si>
  <si>
    <t>苹果木</t>
  </si>
  <si>
    <t>Яблоня</t>
  </si>
  <si>
    <t>Balsa</t>
  </si>
  <si>
    <t>Balsam</t>
  </si>
  <si>
    <t>巴尔沙木</t>
  </si>
  <si>
    <t>Бальза</t>
  </si>
  <si>
    <t>Bambus</t>
  </si>
  <si>
    <t>Bamboo</t>
  </si>
  <si>
    <t>Bambu</t>
  </si>
  <si>
    <t>Bambù</t>
  </si>
  <si>
    <t>Bambou</t>
  </si>
  <si>
    <t>Bambú</t>
  </si>
  <si>
    <t>Bambu ağacı</t>
  </si>
  <si>
    <t>竹</t>
  </si>
  <si>
    <t>Бамбук</t>
  </si>
  <si>
    <t>Birke</t>
  </si>
  <si>
    <t>Birch</t>
  </si>
  <si>
    <t>Björk</t>
  </si>
  <si>
    <t>Betulla</t>
  </si>
  <si>
    <t>Bouleau</t>
  </si>
  <si>
    <t>Abedul</t>
  </si>
  <si>
    <t>Bétula</t>
  </si>
  <si>
    <t>Huş ağacı</t>
  </si>
  <si>
    <t>桦木</t>
  </si>
  <si>
    <t>Береза</t>
  </si>
  <si>
    <t>Birne</t>
  </si>
  <si>
    <t>Pear</t>
  </si>
  <si>
    <t>Päron</t>
  </si>
  <si>
    <t>Pero</t>
  </si>
  <si>
    <t>Poire</t>
  </si>
  <si>
    <t>Pera</t>
  </si>
  <si>
    <t>Pêra</t>
  </si>
  <si>
    <t>Armut ağacı</t>
  </si>
  <si>
    <t>梨木</t>
  </si>
  <si>
    <t>Груша</t>
  </si>
  <si>
    <t>Buche</t>
  </si>
  <si>
    <t>Beech</t>
  </si>
  <si>
    <t>Bok</t>
  </si>
  <si>
    <t>Faggio</t>
  </si>
  <si>
    <t>Hêtre</t>
  </si>
  <si>
    <t>Haya</t>
  </si>
  <si>
    <t>Faia</t>
  </si>
  <si>
    <t>Kayın ağacı</t>
  </si>
  <si>
    <t>山毛榉</t>
  </si>
  <si>
    <t>Бук</t>
  </si>
  <si>
    <t>Douglasie</t>
  </si>
  <si>
    <t>Douglas Fir</t>
  </si>
  <si>
    <t>Douglas trä</t>
  </si>
  <si>
    <t>Douglasia costiera</t>
  </si>
  <si>
    <t>Pin douglas</t>
  </si>
  <si>
    <t>Douglasia</t>
  </si>
  <si>
    <t>花旗松</t>
  </si>
  <si>
    <t>Дугласия</t>
  </si>
  <si>
    <t>Ebenholz</t>
  </si>
  <si>
    <t>Ebony</t>
  </si>
  <si>
    <t>Ebenholts</t>
  </si>
  <si>
    <t>Ebano</t>
  </si>
  <si>
    <t>Ébène</t>
  </si>
  <si>
    <t>Ébano</t>
  </si>
  <si>
    <t>Pau-preto</t>
  </si>
  <si>
    <t>Abanoz ağacı</t>
  </si>
  <si>
    <t>乌木</t>
  </si>
  <si>
    <t>Эбеновое дерево</t>
  </si>
  <si>
    <t>Erle</t>
  </si>
  <si>
    <t>Alder</t>
  </si>
  <si>
    <t>Al</t>
  </si>
  <si>
    <t>Ontano</t>
  </si>
  <si>
    <t>Aulne</t>
  </si>
  <si>
    <t>Aliso</t>
  </si>
  <si>
    <t>Amieiro</t>
  </si>
  <si>
    <t>Kızıl ağacı</t>
  </si>
  <si>
    <t>赤杨木</t>
  </si>
  <si>
    <t>Ольха</t>
  </si>
  <si>
    <t>Esche</t>
  </si>
  <si>
    <t>Ash</t>
  </si>
  <si>
    <t>Ask</t>
  </si>
  <si>
    <t>Frassino</t>
  </si>
  <si>
    <t>Frêne</t>
  </si>
  <si>
    <t>Fresno</t>
  </si>
  <si>
    <t>Freixo</t>
  </si>
  <si>
    <t>Dişbudak ağacı</t>
  </si>
  <si>
    <t>白蜡木</t>
  </si>
  <si>
    <t>Ясень</t>
  </si>
  <si>
    <t>Espe</t>
  </si>
  <si>
    <t>Aspen</t>
  </si>
  <si>
    <t>Asp</t>
  </si>
  <si>
    <t>Tremolo</t>
  </si>
  <si>
    <t>Tremble</t>
  </si>
  <si>
    <t>Álamo</t>
  </si>
  <si>
    <t xml:space="preserve">Álamo </t>
  </si>
  <si>
    <t>Kavak Ağacı</t>
  </si>
  <si>
    <t>山杨木</t>
  </si>
  <si>
    <t>Осина</t>
  </si>
  <si>
    <t>Fichte</t>
  </si>
  <si>
    <t>Spruce</t>
  </si>
  <si>
    <t xml:space="preserve">Gran  </t>
  </si>
  <si>
    <t>Abete rosso</t>
  </si>
  <si>
    <t>Sapin Rouge</t>
  </si>
  <si>
    <t>Pícea</t>
  </si>
  <si>
    <t>Abeto</t>
  </si>
  <si>
    <t>Ladin ağacı</t>
  </si>
  <si>
    <t>云杉</t>
  </si>
  <si>
    <t>Ель</t>
  </si>
  <si>
    <t>Gabun</t>
  </si>
  <si>
    <t>Gaboon</t>
  </si>
  <si>
    <t>Gabon</t>
  </si>
  <si>
    <t>Legno del Gabon</t>
  </si>
  <si>
    <t>Gabón</t>
  </si>
  <si>
    <t xml:space="preserve">Gabão </t>
  </si>
  <si>
    <t>加班木</t>
  </si>
  <si>
    <t>Африканское красное дерево</t>
  </si>
  <si>
    <t>Hemlock</t>
  </si>
  <si>
    <t>Tsuga</t>
  </si>
  <si>
    <t>铁杉</t>
  </si>
  <si>
    <t>Тсуга</t>
  </si>
  <si>
    <t>Iroko</t>
  </si>
  <si>
    <t>Madeira de iroko</t>
  </si>
  <si>
    <t>绿柄桑</t>
  </si>
  <si>
    <t>Ироко</t>
  </si>
  <si>
    <t>Kastanie</t>
  </si>
  <si>
    <t>Chestnut</t>
  </si>
  <si>
    <t>Kastanj</t>
  </si>
  <si>
    <t>Castagno</t>
  </si>
  <si>
    <t>Marron</t>
  </si>
  <si>
    <t>Castaña</t>
  </si>
  <si>
    <t>Castanha</t>
  </si>
  <si>
    <t>Kestane Ağacı</t>
  </si>
  <si>
    <t>栗木</t>
  </si>
  <si>
    <t>Каштан</t>
  </si>
  <si>
    <t>Kiefer</t>
  </si>
  <si>
    <t>Pine</t>
  </si>
  <si>
    <t>Furu</t>
  </si>
  <si>
    <t>Pino</t>
  </si>
  <si>
    <t>Pin</t>
  </si>
  <si>
    <t>Pinheiro</t>
  </si>
  <si>
    <t>Çam ağacı</t>
  </si>
  <si>
    <t>松</t>
  </si>
  <si>
    <t>Сосна</t>
  </si>
  <si>
    <t>Kirsche</t>
  </si>
  <si>
    <t>Cherry</t>
  </si>
  <si>
    <t>Körsbär</t>
  </si>
  <si>
    <t>Ciliegio</t>
  </si>
  <si>
    <t>Cerise</t>
  </si>
  <si>
    <t>Cereza</t>
  </si>
  <si>
    <t xml:space="preserve">Cereja </t>
  </si>
  <si>
    <t>Kiraz ağacı</t>
  </si>
  <si>
    <t>樱桃木</t>
  </si>
  <si>
    <t>Вишня</t>
  </si>
  <si>
    <t>Lärche</t>
  </si>
  <si>
    <t>Larch</t>
  </si>
  <si>
    <t>Lärkträ</t>
  </si>
  <si>
    <t>Larice</t>
  </si>
  <si>
    <t>Mélèze</t>
  </si>
  <si>
    <t>Alerce</t>
  </si>
  <si>
    <t>Pinheiro lariço</t>
  </si>
  <si>
    <t>Karaçam ağacı</t>
  </si>
  <si>
    <t>落叶松木</t>
  </si>
  <si>
    <t>Лиственница</t>
  </si>
  <si>
    <t>Mahagonie</t>
  </si>
  <si>
    <t>Mahogany</t>
  </si>
  <si>
    <t>Mahongny</t>
  </si>
  <si>
    <t>Mogano</t>
  </si>
  <si>
    <t>Acajou</t>
  </si>
  <si>
    <t>Caoba</t>
  </si>
  <si>
    <t>Mogno</t>
  </si>
  <si>
    <t>Maun ağacı</t>
  </si>
  <si>
    <t>红木</t>
  </si>
  <si>
    <t>Красное дерево</t>
  </si>
  <si>
    <t>Mammutbaum</t>
  </si>
  <si>
    <t>Redwood</t>
  </si>
  <si>
    <t>Mammutträ</t>
  </si>
  <si>
    <t>Sequoia</t>
  </si>
  <si>
    <t>Séquoia géant</t>
  </si>
  <si>
    <t>Sequoioideae</t>
  </si>
  <si>
    <t>Sequoias</t>
  </si>
  <si>
    <t>Mamut ağacı</t>
  </si>
  <si>
    <t>红杉</t>
  </si>
  <si>
    <t>Секвойя</t>
  </si>
  <si>
    <t>Pappel</t>
  </si>
  <si>
    <t>Poplar</t>
  </si>
  <si>
    <t>Poppel</t>
  </si>
  <si>
    <t>Pioppo</t>
  </si>
  <si>
    <t>Peuplier</t>
  </si>
  <si>
    <t>Kavak ağacı</t>
  </si>
  <si>
    <t>白杨木</t>
  </si>
  <si>
    <t>Тополь</t>
  </si>
  <si>
    <t>Pappel, kanadisch</t>
  </si>
  <si>
    <t>Cottonwood</t>
  </si>
  <si>
    <t>Poppel, kanadensisk</t>
  </si>
  <si>
    <t>Pioppo canadese</t>
  </si>
  <si>
    <t>Peuplier canadien</t>
  </si>
  <si>
    <t>Álamo del Canadá</t>
  </si>
  <si>
    <t xml:space="preserve">Álamo canadense </t>
  </si>
  <si>
    <t xml:space="preserve">Kavak ağacı, Kanada'ya ait </t>
  </si>
  <si>
    <t>杨木</t>
  </si>
  <si>
    <t>Канадский тополь</t>
  </si>
  <si>
    <t>Pekannussbaum</t>
  </si>
  <si>
    <t>Pecan</t>
  </si>
  <si>
    <t>Pekan</t>
  </si>
  <si>
    <t>Noix de pécan</t>
  </si>
  <si>
    <t>Pacana</t>
  </si>
  <si>
    <t>Arvore pecam</t>
  </si>
  <si>
    <t>胡桃木</t>
  </si>
  <si>
    <t>Кария-пекан</t>
  </si>
  <si>
    <t>Platane</t>
  </si>
  <si>
    <t>Sycamore</t>
  </si>
  <si>
    <t>Platansläktet</t>
  </si>
  <si>
    <t>Platano</t>
  </si>
  <si>
    <t>Plátano</t>
  </si>
  <si>
    <t xml:space="preserve">Plátano </t>
  </si>
  <si>
    <t>梧桐木</t>
  </si>
  <si>
    <t>Платан</t>
  </si>
  <si>
    <t>Pockholz</t>
  </si>
  <si>
    <t>Lignum Vitae</t>
  </si>
  <si>
    <t>Legno di guaiaco</t>
  </si>
  <si>
    <t>Guaiacum</t>
  </si>
  <si>
    <t xml:space="preserve">Pau-santo </t>
  </si>
  <si>
    <t>愈创木</t>
  </si>
  <si>
    <t>Бакаут</t>
  </si>
  <si>
    <t>Ramin</t>
  </si>
  <si>
    <t>-</t>
  </si>
  <si>
    <t>Legno ramino</t>
  </si>
  <si>
    <t>Madera de ramin</t>
  </si>
  <si>
    <t>Madeira de ramin</t>
  </si>
  <si>
    <t>白木</t>
  </si>
  <si>
    <t>Рамин</t>
  </si>
  <si>
    <t>Robinie</t>
  </si>
  <si>
    <t>Locust</t>
  </si>
  <si>
    <t>Robinia</t>
  </si>
  <si>
    <t>Robinier</t>
  </si>
  <si>
    <t>洋槐</t>
  </si>
  <si>
    <t>Белая акация</t>
  </si>
  <si>
    <t>Particle Board</t>
  </si>
  <si>
    <t>Spånskiva</t>
  </si>
  <si>
    <t xml:space="preserve">Aglomerado </t>
  </si>
  <si>
    <t>Tanne</t>
  </si>
  <si>
    <t>Fir</t>
  </si>
  <si>
    <t>Ädelgran</t>
  </si>
  <si>
    <t>Abete</t>
  </si>
  <si>
    <t>Sapin</t>
  </si>
  <si>
    <t>冷杉</t>
  </si>
  <si>
    <t>Пихта</t>
  </si>
  <si>
    <t>Teak</t>
  </si>
  <si>
    <t>Teca</t>
  </si>
  <si>
    <t>Tik ağacı</t>
  </si>
  <si>
    <t>柚木</t>
  </si>
  <si>
    <t>Тик</t>
  </si>
  <si>
    <t>Ulme</t>
  </si>
  <si>
    <t>Elm</t>
  </si>
  <si>
    <t>Alm</t>
  </si>
  <si>
    <t>Olmo</t>
  </si>
  <si>
    <t>Orme</t>
  </si>
  <si>
    <t>Karaağaç</t>
  </si>
  <si>
    <t>榆木</t>
  </si>
  <si>
    <t>Вяз</t>
  </si>
  <si>
    <t>Walnuss</t>
  </si>
  <si>
    <t>Hickory</t>
  </si>
  <si>
    <t>Valnöt</t>
  </si>
  <si>
    <t>Noce</t>
  </si>
  <si>
    <t>Noyer commun</t>
  </si>
  <si>
    <t>Nuez</t>
  </si>
  <si>
    <t>Noz</t>
  </si>
  <si>
    <t>Ceviz ağacı</t>
  </si>
  <si>
    <t>山核桃木</t>
  </si>
  <si>
    <t>Орех</t>
  </si>
  <si>
    <t>Weide</t>
  </si>
  <si>
    <t>Willow</t>
  </si>
  <si>
    <t>Vide</t>
  </si>
  <si>
    <t>Salice</t>
  </si>
  <si>
    <t>Saule</t>
  </si>
  <si>
    <t>Sauce</t>
  </si>
  <si>
    <t xml:space="preserve">Salgueiro </t>
  </si>
  <si>
    <t>Söğüt ağacı</t>
  </si>
  <si>
    <t>柳木</t>
  </si>
  <si>
    <t>Ива</t>
  </si>
  <si>
    <t>Zeder</t>
  </si>
  <si>
    <t>Cedar</t>
  </si>
  <si>
    <t>Ceder</t>
  </si>
  <si>
    <t>Cedro</t>
  </si>
  <si>
    <t>Cèdre rouge</t>
  </si>
  <si>
    <t xml:space="preserve">Cedro </t>
  </si>
  <si>
    <t>Sedir ağacı</t>
  </si>
  <si>
    <t>雪松</t>
  </si>
  <si>
    <t>Кедр</t>
  </si>
  <si>
    <t>Zypresse</t>
  </si>
  <si>
    <t>Cypress</t>
  </si>
  <si>
    <t>Cipresso</t>
  </si>
  <si>
    <t>Cyprès</t>
  </si>
  <si>
    <t>Ciprés</t>
  </si>
  <si>
    <t xml:space="preserve">Cipreste </t>
  </si>
  <si>
    <t xml:space="preserve">Selvi ağacı </t>
  </si>
  <si>
    <t>柏木</t>
  </si>
  <si>
    <t>Кипарис</t>
  </si>
  <si>
    <t>dichte</t>
  </si>
  <si>
    <t>Material</t>
  </si>
  <si>
    <t>Breite</t>
  </si>
  <si>
    <t>Dicke</t>
  </si>
  <si>
    <t>Limit</t>
  </si>
  <si>
    <t>min</t>
  </si>
  <si>
    <t>max</t>
  </si>
  <si>
    <t>volumen</t>
  </si>
  <si>
    <t>Gewicht</t>
  </si>
  <si>
    <t>Anzahl Scharniere</t>
  </si>
  <si>
    <t>Scharnieranzahl</t>
  </si>
  <si>
    <t>Sortiert</t>
  </si>
  <si>
    <t>TIOMOS SELECTOR erstellt von SYS33 EDV Dienstleistung im Auftrag von GRASS Reinheim</t>
  </si>
  <si>
    <t>auswahl K</t>
  </si>
  <si>
    <t>voll aufliegend (K0)</t>
  </si>
  <si>
    <t>aufliegend (K3)</t>
  </si>
  <si>
    <t>halb aufliegend (K9.5)</t>
  </si>
  <si>
    <t>einliegend (K19)</t>
  </si>
  <si>
    <t>montageplatten müssen nach Höhe aufsteigend gefiltert sein und Randbedingungen entsprechen</t>
  </si>
  <si>
    <t>Es sind Lösungen möglich! Bitte rechts Auswahl ändern.</t>
  </si>
  <si>
    <t>oder</t>
  </si>
  <si>
    <t>Versuchen Sie</t>
  </si>
  <si>
    <t>Hinge</t>
  </si>
  <si>
    <t>Drilling pattern</t>
  </si>
  <si>
    <t>Overlay</t>
  </si>
  <si>
    <t>Cup distance</t>
  </si>
  <si>
    <t>Mounting plate</t>
  </si>
  <si>
    <t>Mounting plate fixing</t>
  </si>
  <si>
    <t>hinge</t>
  </si>
  <si>
    <t>Hinge type</t>
  </si>
  <si>
    <t>Fixing</t>
  </si>
  <si>
    <t>Click-on screw</t>
  </si>
  <si>
    <t>Click-on press in</t>
  </si>
  <si>
    <t>Screw on version</t>
  </si>
  <si>
    <t>Pres in version</t>
  </si>
  <si>
    <t>Dowel version</t>
  </si>
  <si>
    <t>Screw on (wood screws)</t>
  </si>
  <si>
    <t>Screw on (Euro screws)</t>
  </si>
  <si>
    <t>press in</t>
  </si>
  <si>
    <t>prem. Euro [13,5]</t>
  </si>
  <si>
    <t>prem. Euro [10,5]</t>
  </si>
  <si>
    <t>with soft close</t>
  </si>
  <si>
    <t>w/o soft close</t>
  </si>
  <si>
    <t>Cross mounting plate</t>
  </si>
  <si>
    <t>Linear mounting plate</t>
  </si>
  <si>
    <t>Mounting plate type</t>
  </si>
  <si>
    <t>1D Cross mounting plate TIOMOS</t>
  </si>
  <si>
    <t>ECO Cross mounting plate TIOMOS</t>
  </si>
  <si>
    <t>1D linear mounting plate TIOMOS</t>
  </si>
  <si>
    <t>Linear distance plate TIOMOS</t>
  </si>
  <si>
    <t>TIOMOS mounting plates</t>
  </si>
  <si>
    <t>prem. Euro screws</t>
  </si>
  <si>
    <t>prem. short Euro screws</t>
  </si>
  <si>
    <t>hinge T Click on 110°</t>
  </si>
  <si>
    <t>TIOMOS hinge T-Click-on</t>
  </si>
  <si>
    <t>TIOMOS hinge T-Impresso</t>
  </si>
  <si>
    <t>TIOMOS hinge TS-Click-on</t>
  </si>
  <si>
    <t>TIOMOS hinge TS-Impresso</t>
  </si>
  <si>
    <t>TIOMOS hinge TT-Click-on</t>
  </si>
  <si>
    <t>TIOMOS hinge TT-Impresso</t>
  </si>
  <si>
    <t>Dowel</t>
  </si>
  <si>
    <t>Spread dowel</t>
  </si>
  <si>
    <t>TIOMOS Impresso hinges</t>
  </si>
  <si>
    <t>TIOMOS Click-on hinges</t>
  </si>
  <si>
    <t>all</t>
  </si>
  <si>
    <t>full overlay [K0]</t>
  </si>
  <si>
    <t>overlay [K3]</t>
  </si>
  <si>
    <t>half overlay [K9.5]</t>
  </si>
  <si>
    <t>inset [19]</t>
  </si>
  <si>
    <t>Height</t>
  </si>
  <si>
    <t>Item#</t>
  </si>
  <si>
    <t>No solution…</t>
  </si>
  <si>
    <t>Please change selection on the right</t>
  </si>
  <si>
    <t>Try</t>
  </si>
  <si>
    <t>or</t>
  </si>
  <si>
    <t>change selection</t>
  </si>
  <si>
    <t>Door height</t>
  </si>
  <si>
    <t>Door weight</t>
  </si>
  <si>
    <t>Door width</t>
  </si>
  <si>
    <t>The number of hinges is determined by the door</t>
  </si>
  <si>
    <t>height, door weight, quality of the material and the</t>
  </si>
  <si>
    <t>fixing of the cup and mounting plate</t>
  </si>
  <si>
    <t>ard door widths. In case of doubt, the number of</t>
  </si>
  <si>
    <t>The load and height data refer to 600 mm stand-</t>
  </si>
  <si>
    <t>hinges should be determined with a trial fitting.</t>
  </si>
  <si>
    <t>Example:</t>
  </si>
  <si>
    <t>For doors measuring 2000 x 600 mm and weighing</t>
  </si>
  <si>
    <t xml:space="preserve">13 kg we recommend the installation </t>
  </si>
  <si>
    <t>of 4 hinges.</t>
  </si>
  <si>
    <t>The table refers to hinges with and without</t>
  </si>
  <si>
    <t>integrated damper.</t>
  </si>
  <si>
    <t>Width</t>
  </si>
  <si>
    <t>Thickness</t>
  </si>
  <si>
    <t>Nomber of hinges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</si>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</sst>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\ &quot;kg&quot;"/>
    <numFmt numFmtId="166" formatCode="0.0\ &quot;mm&quot;"/>
  </numFmts>
  <fonts count="19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3F3F3F"/>
      <name val="Calibri"/>
      <family val="2"/>
      <scheme val="minor"/>
    </font>
    <font>
      <b/>
      <sz val="11"/>
      <color indexed="8"/>
      <name val="Calibri"/>
      <family val="2"/>
    </font>
    <font>
      <sz val="4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color theme="1"/>
      <name val="Calibri"/>
      <scheme val="minor"/>
    </font>
    <font>
      <sz val="2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2F2F2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22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ck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3F3F3F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rgb="FF3F3F3F"/>
      </bottom>
      <diagonal/>
    </border>
    <border>
      <left style="thin">
        <color indexed="64"/>
      </left>
      <right style="thin">
        <color rgb="FF3F3F3F"/>
      </right>
      <top/>
      <bottom style="thin">
        <color rgb="FF3F3F3F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3" fillId="4" borderId="7" applyNumberFormat="0" applyAlignment="0" applyProtection="0"/>
    <xf numFmtId="0" fontId="5" fillId="0" borderId="0"/>
    <xf numFmtId="0" fontId="5" fillId="0" borderId="0"/>
  </cellStyleXfs>
  <cellXfs count="131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2" borderId="0" xfId="0" quotePrefix="1" applyFill="1"/>
    <xf numFmtId="0" fontId="0" fillId="0" borderId="0" xfId="0" applyFill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textRotation="90"/>
    </xf>
    <xf numFmtId="0" fontId="0" fillId="0" borderId="0" xfId="0" applyFill="1" applyBorder="1"/>
    <xf numFmtId="0" fontId="0" fillId="0" borderId="4" xfId="0" applyBorder="1"/>
    <xf numFmtId="0" fontId="2" fillId="0" borderId="0" xfId="0" applyFont="1" applyAlignment="1">
      <alignment vertical="center"/>
    </xf>
    <xf numFmtId="0" fontId="0" fillId="0" borderId="5" xfId="0" applyBorder="1"/>
    <xf numFmtId="0" fontId="6" fillId="0" borderId="8" xfId="2" applyFont="1" applyFill="1" applyBorder="1" applyAlignment="1">
      <alignment wrapText="1"/>
    </xf>
    <xf numFmtId="0" fontId="6" fillId="0" borderId="8" xfId="3" applyFont="1" applyFill="1" applyBorder="1" applyAlignment="1">
      <alignment wrapText="1"/>
    </xf>
    <xf numFmtId="49" fontId="3" fillId="4" borderId="7" xfId="1" applyNumberFormat="1" applyAlignment="1">
      <alignment vertical="top"/>
    </xf>
    <xf numFmtId="0" fontId="0" fillId="0" borderId="0" xfId="0" applyAlignment="1">
      <alignment vertical="top"/>
    </xf>
    <xf numFmtId="0" fontId="3" fillId="4" borderId="7" xfId="1" applyNumberFormat="1" applyAlignment="1">
      <alignment vertical="top" textRotation="90"/>
    </xf>
    <xf numFmtId="0" fontId="3" fillId="3" borderId="7" xfId="1" applyFill="1" applyAlignment="1">
      <alignment vertical="top" textRotation="90"/>
    </xf>
    <xf numFmtId="0" fontId="3" fillId="4" borderId="7" xfId="1" applyAlignment="1">
      <alignment vertical="top" textRotation="90"/>
    </xf>
    <xf numFmtId="0" fontId="0" fillId="0" borderId="0" xfId="0" applyAlignment="1">
      <alignment vertical="top" textRotation="90"/>
    </xf>
    <xf numFmtId="0" fontId="0" fillId="2" borderId="3" xfId="0" applyFill="1" applyBorder="1"/>
    <xf numFmtId="0" fontId="0" fillId="5" borderId="0" xfId="0" applyFill="1"/>
    <xf numFmtId="0" fontId="0" fillId="2" borderId="0" xfId="0" applyFill="1" applyBorder="1"/>
    <xf numFmtId="0" fontId="0" fillId="2" borderId="9" xfId="0" applyFill="1" applyBorder="1"/>
    <xf numFmtId="0" fontId="0" fillId="0" borderId="0" xfId="0" applyFont="1"/>
    <xf numFmtId="49" fontId="3" fillId="4" borderId="10" xfId="1" applyNumberFormat="1" applyBorder="1" applyAlignment="1">
      <alignment vertical="top"/>
    </xf>
    <xf numFmtId="0" fontId="3" fillId="3" borderId="10" xfId="1" applyFill="1" applyBorder="1" applyAlignment="1">
      <alignment vertical="top" textRotation="90"/>
    </xf>
    <xf numFmtId="0" fontId="0" fillId="6" borderId="3" xfId="0" applyFill="1" applyBorder="1"/>
    <xf numFmtId="0" fontId="0" fillId="6" borderId="0" xfId="0" applyFill="1"/>
    <xf numFmtId="0" fontId="0" fillId="6" borderId="0" xfId="0" applyFill="1" applyBorder="1"/>
    <xf numFmtId="0" fontId="0" fillId="6" borderId="9" xfId="0" applyFill="1" applyBorder="1"/>
    <xf numFmtId="0" fontId="4" fillId="0" borderId="0" xfId="0" applyFont="1" applyAlignment="1">
      <alignment vertical="top" textRotation="90"/>
    </xf>
    <xf numFmtId="0" fontId="4" fillId="0" borderId="0" xfId="0" applyFont="1"/>
    <xf numFmtId="49" fontId="3" fillId="4" borderId="11" xfId="1" applyNumberFormat="1" applyBorder="1" applyAlignment="1">
      <alignment vertical="top"/>
    </xf>
    <xf numFmtId="0" fontId="0" fillId="0" borderId="12" xfId="0" applyBorder="1"/>
    <xf numFmtId="0" fontId="0" fillId="0" borderId="0" xfId="0" applyFont="1" applyAlignment="1">
      <alignment vertical="top" textRotation="90"/>
    </xf>
    <xf numFmtId="0" fontId="3" fillId="5" borderId="7" xfId="1" applyFill="1" applyAlignment="1">
      <alignment vertical="top" textRotation="90"/>
    </xf>
    <xf numFmtId="0" fontId="3" fillId="2" borderId="7" xfId="1" applyFill="1" applyAlignment="1">
      <alignment vertical="top" textRotation="90"/>
    </xf>
    <xf numFmtId="0" fontId="0" fillId="0" borderId="14" xfId="0" applyBorder="1"/>
    <xf numFmtId="0" fontId="0" fillId="0" borderId="15" xfId="0" applyBorder="1"/>
    <xf numFmtId="0" fontId="0" fillId="0" borderId="16" xfId="0" applyFont="1" applyBorder="1" applyAlignment="1">
      <alignment vertical="top" textRotation="90"/>
    </xf>
    <xf numFmtId="0" fontId="0" fillId="0" borderId="16" xfId="0" applyFont="1" applyBorder="1"/>
    <xf numFmtId="0" fontId="0" fillId="0" borderId="0" xfId="0" applyBorder="1"/>
    <xf numFmtId="0" fontId="6" fillId="0" borderId="17" xfId="0" applyNumberFormat="1" applyFont="1" applyFill="1" applyBorder="1" applyAlignment="1" applyProtection="1">
      <alignment wrapText="1"/>
    </xf>
    <xf numFmtId="0" fontId="6" fillId="0" borderId="0" xfId="2" applyFont="1" applyFill="1" applyBorder="1" applyAlignment="1">
      <alignment wrapText="1"/>
    </xf>
    <xf numFmtId="49" fontId="3" fillId="4" borderId="10" xfId="1" applyNumberFormat="1" applyFont="1" applyBorder="1" applyAlignment="1">
      <alignment vertical="top"/>
    </xf>
    <xf numFmtId="0" fontId="8" fillId="0" borderId="0" xfId="2" applyFont="1" applyFill="1" applyBorder="1" applyAlignment="1">
      <alignment wrapText="1"/>
    </xf>
    <xf numFmtId="49" fontId="3" fillId="4" borderId="10" xfId="1" applyNumberFormat="1" applyBorder="1" applyAlignment="1">
      <alignment vertical="top" textRotation="90"/>
    </xf>
    <xf numFmtId="49" fontId="7" fillId="4" borderId="10" xfId="1" applyNumberFormat="1" applyFont="1" applyBorder="1" applyAlignment="1">
      <alignment vertical="top" textRotation="90"/>
    </xf>
    <xf numFmtId="0" fontId="0" fillId="7" borderId="0" xfId="0" applyFill="1"/>
    <xf numFmtId="0" fontId="0" fillId="8" borderId="0" xfId="0" applyFill="1"/>
    <xf numFmtId="0" fontId="0" fillId="8" borderId="4" xfId="0" applyFill="1" applyBorder="1"/>
    <xf numFmtId="0" fontId="0" fillId="8" borderId="15" xfId="0" applyFill="1" applyBorder="1"/>
    <xf numFmtId="0" fontId="0" fillId="0" borderId="21" xfId="0" applyBorder="1"/>
    <xf numFmtId="164" fontId="0" fillId="0" borderId="0" xfId="0" applyNumberFormat="1"/>
    <xf numFmtId="0" fontId="0" fillId="0" borderId="0" xfId="0" applyAlignment="1">
      <alignment horizontal="center"/>
    </xf>
    <xf numFmtId="0" fontId="4" fillId="0" borderId="21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0" borderId="21" xfId="0" applyFont="1" applyBorder="1"/>
    <xf numFmtId="0" fontId="4" fillId="0" borderId="0" xfId="0" applyFont="1" applyBorder="1"/>
    <xf numFmtId="0" fontId="4" fillId="0" borderId="3" xfId="0" applyFont="1" applyBorder="1"/>
    <xf numFmtId="0" fontId="0" fillId="0" borderId="0" xfId="0" applyFont="1" applyFill="1"/>
    <xf numFmtId="0" fontId="1" fillId="0" borderId="9" xfId="0" applyFont="1" applyBorder="1"/>
    <xf numFmtId="0" fontId="0" fillId="0" borderId="9" xfId="0" applyBorder="1"/>
    <xf numFmtId="0" fontId="0" fillId="0" borderId="4" xfId="0" applyBorder="1" applyAlignment="1">
      <alignment horizontal="right"/>
    </xf>
    <xf numFmtId="0" fontId="0" fillId="8" borderId="0" xfId="0" applyFill="1" applyAlignment="1">
      <alignment horizontal="right"/>
    </xf>
    <xf numFmtId="0" fontId="0" fillId="0" borderId="14" xfId="0" applyBorder="1" applyAlignment="1">
      <alignment horizontal="right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3" fillId="3" borderId="23" xfId="1" applyFill="1" applyBorder="1" applyAlignment="1">
      <alignment vertical="top" textRotation="90"/>
    </xf>
    <xf numFmtId="0" fontId="3" fillId="3" borderId="24" xfId="1" applyFill="1" applyBorder="1" applyAlignment="1">
      <alignment vertical="top" textRotation="90"/>
    </xf>
    <xf numFmtId="0" fontId="0" fillId="2" borderId="21" xfId="0" applyFill="1" applyBorder="1"/>
    <xf numFmtId="0" fontId="0" fillId="9" borderId="0" xfId="0" applyFill="1"/>
    <xf numFmtId="0" fontId="9" fillId="9" borderId="0" xfId="0" applyFont="1" applyFill="1" applyAlignment="1">
      <alignment vertical="top"/>
    </xf>
    <xf numFmtId="0" fontId="12" fillId="9" borderId="0" xfId="0" applyFont="1" applyFill="1" applyAlignment="1">
      <alignment vertical="center"/>
    </xf>
    <xf numFmtId="0" fontId="10" fillId="9" borderId="0" xfId="0" applyFont="1" applyFill="1"/>
    <xf numFmtId="0" fontId="11" fillId="9" borderId="0" xfId="0" applyFont="1" applyFill="1"/>
    <xf numFmtId="0" fontId="10" fillId="0" borderId="0" xfId="0" applyFont="1" applyFill="1"/>
    <xf numFmtId="0" fontId="10" fillId="9" borderId="0" xfId="0" applyFont="1" applyFill="1" applyAlignment="1">
      <alignment horizontal="right"/>
    </xf>
    <xf numFmtId="0" fontId="13" fillId="0" borderId="21" xfId="0" applyFont="1" applyBorder="1"/>
    <xf numFmtId="0" fontId="13" fillId="0" borderId="0" xfId="0" applyFont="1" applyBorder="1"/>
    <xf numFmtId="0" fontId="13" fillId="0" borderId="3" xfId="0" applyFont="1" applyBorder="1"/>
    <xf numFmtId="164" fontId="13" fillId="0" borderId="21" xfId="0" applyNumberFormat="1" applyFont="1" applyBorder="1"/>
    <xf numFmtId="164" fontId="13" fillId="0" borderId="0" xfId="0" applyNumberFormat="1" applyFont="1" applyBorder="1"/>
    <xf numFmtId="164" fontId="13" fillId="0" borderId="3" xfId="0" applyNumberFormat="1" applyFont="1" applyBorder="1"/>
    <xf numFmtId="0" fontId="0" fillId="0" borderId="18" xfId="0" applyFont="1" applyBorder="1"/>
    <xf numFmtId="0" fontId="0" fillId="0" borderId="21" xfId="0" applyFont="1" applyBorder="1"/>
    <xf numFmtId="0" fontId="0" fillId="0" borderId="5" xfId="0" applyFont="1" applyBorder="1"/>
    <xf numFmtId="0" fontId="0" fillId="0" borderId="0" xfId="0" applyFont="1" applyBorder="1"/>
    <xf numFmtId="0" fontId="0" fillId="0" borderId="6" xfId="0" applyFont="1" applyBorder="1"/>
    <xf numFmtId="0" fontId="0" fillId="0" borderId="3" xfId="0" applyFont="1" applyBorder="1"/>
    <xf numFmtId="0" fontId="0" fillId="9" borderId="0" xfId="0" applyFill="1" applyBorder="1"/>
    <xf numFmtId="0" fontId="0" fillId="0" borderId="25" xfId="0" applyBorder="1"/>
    <xf numFmtId="0" fontId="4" fillId="2" borderId="0" xfId="0" applyFont="1" applyFill="1"/>
    <xf numFmtId="0" fontId="0" fillId="9" borderId="20" xfId="0" applyFill="1" applyBorder="1" applyProtection="1">
      <protection hidden="1"/>
    </xf>
    <xf numFmtId="0" fontId="0" fillId="9" borderId="0" xfId="0" applyFill="1" applyBorder="1" applyProtection="1">
      <protection hidden="1"/>
    </xf>
    <xf numFmtId="0" fontId="0" fillId="9" borderId="0" xfId="0" applyFont="1" applyFill="1"/>
    <xf numFmtId="0" fontId="0" fillId="10" borderId="0" xfId="0" applyFill="1"/>
    <xf numFmtId="0" fontId="4" fillId="10" borderId="0" xfId="0" applyFont="1" applyFill="1"/>
    <xf numFmtId="0" fontId="11" fillId="0" borderId="0" xfId="0" applyFont="1" applyFill="1"/>
    <xf numFmtId="0" fontId="11" fillId="0" borderId="0" xfId="0" applyFont="1"/>
    <xf numFmtId="166" fontId="0" fillId="0" borderId="0" xfId="0" applyNumberFormat="1"/>
    <xf numFmtId="0" fontId="17" fillId="0" borderId="0" xfId="0" applyFont="1"/>
    <xf numFmtId="0" fontId="15" fillId="0" borderId="0" xfId="0" applyFont="1"/>
    <xf numFmtId="0" fontId="15" fillId="0" borderId="0" xfId="0" applyFont="1" applyAlignment="1">
      <alignment horizontal="right"/>
    </xf>
    <xf numFmtId="2" fontId="0" fillId="8" borderId="13" xfId="0" applyNumberFormat="1" applyFill="1" applyBorder="1" applyAlignment="1">
      <alignment horizontal="center"/>
    </xf>
    <xf numFmtId="164" fontId="0" fillId="8" borderId="13" xfId="0" applyNumberFormat="1" applyFill="1" applyBorder="1" applyAlignment="1">
      <alignment horizontal="center"/>
    </xf>
    <xf numFmtId="164" fontId="18" fillId="0" borderId="18" xfId="0" applyNumberFormat="1" applyFont="1" applyBorder="1" applyAlignment="1">
      <alignment horizontal="center" vertical="center"/>
    </xf>
    <xf numFmtId="164" fontId="18" fillId="0" borderId="21" xfId="0" applyNumberFormat="1" applyFont="1" applyBorder="1" applyAlignment="1">
      <alignment horizontal="center" vertical="center"/>
    </xf>
    <xf numFmtId="164" fontId="18" fillId="0" borderId="19" xfId="0" applyNumberFormat="1" applyFont="1" applyBorder="1" applyAlignment="1">
      <alignment horizontal="center" vertical="center"/>
    </xf>
    <xf numFmtId="164" fontId="18" fillId="0" borderId="5" xfId="0" applyNumberFormat="1" applyFont="1" applyBorder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18" fillId="0" borderId="20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1" borderId="4" xfId="0" applyFont="1" applyFill="1" applyBorder="1" applyAlignment="1">
      <alignment horizontal="center"/>
    </xf>
    <xf numFmtId="0" fontId="4" fillId="11" borderId="15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1" fillId="9" borderId="0" xfId="0" applyFont="1" applyFill="1" applyAlignment="1">
      <alignment horizontal="left"/>
    </xf>
    <xf numFmtId="165" fontId="15" fillId="11" borderId="14" xfId="0" applyNumberFormat="1" applyFont="1" applyFill="1" applyBorder="1" applyAlignment="1" applyProtection="1">
      <alignment horizontal="center" vertical="center"/>
      <protection hidden="1"/>
    </xf>
    <xf numFmtId="165" fontId="15" fillId="11" borderId="4" xfId="0" applyNumberFormat="1" applyFont="1" applyFill="1" applyBorder="1" applyAlignment="1" applyProtection="1">
      <alignment horizontal="center" vertical="center"/>
      <protection hidden="1"/>
    </xf>
    <xf numFmtId="165" fontId="15" fillId="11" borderId="15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 vertical="center"/>
    </xf>
    <xf numFmtId="0" fontId="11" fillId="9" borderId="0" xfId="0" applyFont="1" applyFill="1" applyBorder="1" applyAlignment="1" applyProtection="1">
      <alignment horizontal="left" vertical="center"/>
      <protection hidden="1"/>
    </xf>
    <xf numFmtId="0" fontId="14" fillId="10" borderId="13" xfId="0" applyFont="1" applyFill="1" applyBorder="1" applyAlignment="1" applyProtection="1">
      <alignment horizontal="center" vertical="center"/>
      <protection locked="0" hidden="1"/>
    </xf>
    <xf numFmtId="0" fontId="0" fillId="9" borderId="0" xfId="0" applyFill="1" applyAlignment="1">
      <alignment horizontal="center"/>
    </xf>
    <xf numFmtId="0" fontId="0" fillId="0" borderId="0" xfId="0" applyAlignment="1">
      <alignment horizontal="left" vertical="top" textRotation="90"/>
    </xf>
  </cellXfs>
  <cellStyles count="4">
    <cellStyle name="Ausgabe" xfId="1" builtinId="21"/>
    <cellStyle name="Standard" xfId="0" builtinId="0"/>
    <cellStyle name="Standard_MP Artikel#" xfId="3"/>
    <cellStyle name="Standard_Tabelle6" xfId="2"/>
  </cellStyles>
  <dxfs count="66"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b val="0"/>
        <i val="0"/>
        <color theme="1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ont>
        <color theme="0" tint="-0.24994659260841701"/>
      </font>
    </dxf>
    <dxf>
      <font>
        <color theme="0" tint="-0.34998626667073579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FF00"/>
        </patternFill>
      </fill>
    </dxf>
    <dxf>
      <fill>
        <patternFill>
          <fgColor indexed="64"/>
          <bgColor rgb="FFFFFF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 patternType="solid"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border diagonalUp="0" diagonalDown="0" outline="0">
        <left/>
        <right/>
        <top/>
        <bottom/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ck">
          <color rgb="FF3F3F3F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border diagonalUp="0" diagonalDown="0">
        <left style="thin">
          <color indexed="64"/>
        </left>
        <right style="thick">
          <color rgb="FF3F3F3F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solid">
          <fgColor indexed="64"/>
          <bgColor rgb="FF92D050"/>
        </patternFill>
      </fill>
      <alignment horizontal="general" vertical="top" textRotation="9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border outline="0">
        <top style="thin">
          <color rgb="FF3F3F3F"/>
        </top>
      </border>
    </dxf>
    <dxf>
      <border outline="0">
        <bottom style="thin">
          <color rgb="FF3F3F3F"/>
        </bottom>
      </border>
    </dxf>
    <dxf>
      <fill>
        <patternFill patternType="solid">
          <fgColor indexed="64"/>
          <bgColor rgb="FF92D050"/>
        </patternFill>
      </fill>
      <alignment horizontal="general" vertical="top" textRotation="90" wrapText="0" indent="0" justifyLastLine="0" shrinkToFit="0" readingOrder="0"/>
      <border diagonalUp="0" diagonalDown="0" outline="0">
        <left style="thin">
          <color rgb="FF3F3F3F"/>
        </left>
        <right style="thin">
          <color rgb="FF3F3F3F"/>
        </right>
        <top/>
        <bottom/>
      </border>
    </dxf>
  </dxfs>
  <tableStyles count="0" defaultTableStyle="TableStyleMedium2" defaultPivotStyle="PivotStyleLight16"/>
  <colors>
    <mruColors>
      <color rgb="FF0082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Drop" dropStyle="combo" dx="16" fmlaLink="select!$I$3" fmlaRange="select!$J$4:$J$8" sel="5" val="0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Spin" dx="16" fmlaLink="select!$E$3" max="40" page="10" val="26"/>
</file>

<file path=xl/ctrlProps/ctrlProp12.xml><?xml version="1.0" encoding="utf-8"?>
<formControlPr xmlns="http://schemas.microsoft.com/office/spreadsheetml/2009/9/main" objectType="Drop" dropStyle="combo" dx="16" fmlaLink="select!$L$16" fmlaRange="select!$L$17:$L$18" noThreeD="1" sel="2" val="0"/>
</file>

<file path=xl/ctrlProps/ctrlProp13.xml><?xml version="1.0" encoding="utf-8"?>
<formControlPr xmlns="http://schemas.microsoft.com/office/spreadsheetml/2009/9/main" objectType="List" dx="16" fmlaLink="select!$E$79" fmlaRange="select!$F$80:$F$84" val="0"/>
</file>

<file path=xl/ctrlProps/ctrlProp14.xml><?xml version="1.0" encoding="utf-8"?>
<formControlPr xmlns="http://schemas.microsoft.com/office/spreadsheetml/2009/9/main" objectType="Drop" dropStyle="combo" dx="16" fmlaLink="select!$E$7" fmlaRange="select!$F$8:$F$10" sel="2" val="0"/>
</file>

<file path=xl/ctrlProps/ctrlProp15.xml><?xml version="1.0" encoding="utf-8"?>
<formControlPr xmlns="http://schemas.microsoft.com/office/spreadsheetml/2009/9/main" objectType="Drop" dropLines="44" dropStyle="combo" dx="16" fmlaLink="select!$F$141" fmlaRange="select!$G$142:$G$185" sel="2" val="0"/>
</file>

<file path=xl/ctrlProps/ctrlProp16.xml><?xml version="1.0" encoding="utf-8"?>
<formControlPr xmlns="http://schemas.microsoft.com/office/spreadsheetml/2009/9/main" objectType="Spin" dx="16" fmlaLink="$AQ$29" inc="5" max="1400" min="100" page="10" val="600"/>
</file>

<file path=xl/ctrlProps/ctrlProp17.xml><?xml version="1.0" encoding="utf-8"?>
<formControlPr xmlns="http://schemas.microsoft.com/office/spreadsheetml/2009/9/main" objectType="Spin" dx="16" fmlaLink="$AQ$30" inc="5" max="2500" min="150" page="10" val="2000"/>
</file>

<file path=xl/ctrlProps/ctrlProp18.xml><?xml version="1.0" encoding="utf-8"?>
<formControlPr xmlns="http://schemas.microsoft.com/office/spreadsheetml/2009/9/main" objectType="Spin" dx="16" fmlaLink="$AQ$31" max="50" min="1" page="10" val="16"/>
</file>

<file path=xl/ctrlProps/ctrlProp19.xml><?xml version="1.0" encoding="utf-8"?>
<formControlPr xmlns="http://schemas.microsoft.com/office/spreadsheetml/2009/9/main" objectType="Drop" dropLines="15" dropStyle="combo" dx="16" fmlaLink="Sprache!$B$3" fmlaRange="Sprache!$A$4:$A$18" sel="2" val="0"/>
</file>

<file path=xl/ctrlProps/ctrlProp2.xml><?xml version="1.0" encoding="utf-8"?>
<formControlPr xmlns="http://schemas.microsoft.com/office/spreadsheetml/2009/9/main" objectType="Drop" dropLines="9" dropStyle="combo" dx="16" fmlaLink="select!$L$3" fmlaRange="select!$M$4:$M$12" sel="3" val="0"/>
</file>

<file path=xl/ctrlProps/ctrlProp20.xml><?xml version="1.0" encoding="utf-8"?>
<formControlPr xmlns="http://schemas.microsoft.com/office/spreadsheetml/2009/9/main" objectType="Drop" dropLines="2" dropStyle="combo" dx="16" fmlaLink="select!$M$124" fmlaRange="select!$N$125:$N$126" val="0"/>
</file>

<file path=xl/ctrlProps/ctrlProp3.xml><?xml version="1.0" encoding="utf-8"?>
<formControlPr xmlns="http://schemas.microsoft.com/office/spreadsheetml/2009/9/main" objectType="Drop" dropLines="3" dropStyle="combo" dx="16" fmlaLink="select!$A$16" fmlaRange="select!$B$17:$B$19" val="0"/>
</file>

<file path=xl/ctrlProps/ctrlProp4.xml><?xml version="1.0" encoding="utf-8"?>
<formControlPr xmlns="http://schemas.microsoft.com/office/spreadsheetml/2009/9/main" objectType="Drop" dropLines="3" dropStyle="combo" dx="16" fmlaLink="select!$E$16" fmlaRange="select!$F$17:$F$19" val="0"/>
</file>

<file path=xl/ctrlProps/ctrlProp5.xml><?xml version="1.0" encoding="utf-8"?>
<formControlPr xmlns="http://schemas.microsoft.com/office/spreadsheetml/2009/9/main" objectType="Drop" dropLines="15" dropStyle="combo" dx="16" fmlaLink="Sprache!$B$3" fmlaRange="Sprache!$A$4:$A$18" sel="2" val="0"/>
</file>

<file path=xl/ctrlProps/ctrlProp6.xml><?xml version="1.0" encoding="utf-8"?>
<formControlPr xmlns="http://schemas.microsoft.com/office/spreadsheetml/2009/9/main" objectType="Drop" dropLines="2" dropStyle="combo" dx="16" fmlaLink="select!$H$16" fmlaRange="select!$I$17:$I$18" val="0"/>
</file>

<file path=xl/ctrlProps/ctrlProp7.xml><?xml version="1.0" encoding="utf-8"?>
<formControlPr xmlns="http://schemas.microsoft.com/office/spreadsheetml/2009/9/main" objectType="Radio" checked="Checked" firstButton="1" fmlaLink="select!$A$3" lockText="1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jpg"/><Relationship Id="rId2" Type="http://schemas.openxmlformats.org/officeDocument/2006/relationships/image" Target="../media/image11.emf"/><Relationship Id="rId1" Type="http://schemas.openxmlformats.org/officeDocument/2006/relationships/image" Target="../media/image10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9525</xdr:rowOff>
        </xdr:from>
        <xdr:to>
          <xdr:col>20</xdr:col>
          <xdr:colOff>57150</xdr:colOff>
          <xdr:row>22</xdr:row>
          <xdr:rowOff>28575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21</xdr:row>
          <xdr:rowOff>9525</xdr:rowOff>
        </xdr:from>
        <xdr:to>
          <xdr:col>28</xdr:col>
          <xdr:colOff>19050</xdr:colOff>
          <xdr:row>21</xdr:row>
          <xdr:rowOff>161925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41</xdr:row>
          <xdr:rowOff>38100</xdr:rowOff>
        </xdr:from>
        <xdr:to>
          <xdr:col>16</xdr:col>
          <xdr:colOff>200025</xdr:colOff>
          <xdr:row>42</xdr:row>
          <xdr:rowOff>47625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26</xdr:row>
          <xdr:rowOff>19050</xdr:rowOff>
        </xdr:from>
        <xdr:to>
          <xdr:col>5</xdr:col>
          <xdr:colOff>190500</xdr:colOff>
          <xdr:row>27</xdr:row>
          <xdr:rowOff>28575</xdr:rowOff>
        </xdr:to>
        <xdr:sp macro="" textlink="">
          <xdr:nvSpPr>
            <xdr:cNvPr id="1031" name="Drop Down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152400</xdr:colOff>
          <xdr:row>3</xdr:row>
          <xdr:rowOff>19050</xdr:rowOff>
        </xdr:from>
        <xdr:to>
          <xdr:col>29</xdr:col>
          <xdr:colOff>123825</xdr:colOff>
          <xdr:row>3</xdr:row>
          <xdr:rowOff>180975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28575</xdr:rowOff>
        </xdr:from>
        <xdr:to>
          <xdr:col>6</xdr:col>
          <xdr:colOff>161925</xdr:colOff>
          <xdr:row>42</xdr:row>
          <xdr:rowOff>38100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28575</xdr:colOff>
      <xdr:row>8</xdr:row>
      <xdr:rowOff>38100</xdr:rowOff>
    </xdr:from>
    <xdr:to>
      <xdr:col>6</xdr:col>
      <xdr:colOff>49200</xdr:colOff>
      <xdr:row>13</xdr:row>
      <xdr:rowOff>66399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2200275"/>
          <a:ext cx="1116000" cy="9903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0</xdr:rowOff>
        </xdr:from>
        <xdr:to>
          <xdr:col>1</xdr:col>
          <xdr:colOff>200025</xdr:colOff>
          <xdr:row>6</xdr:row>
          <xdr:rowOff>180975</xdr:rowOff>
        </xdr:to>
        <xdr:sp macro="" textlink="">
          <xdr:nvSpPr>
            <xdr:cNvPr id="1035" name="Option Button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5</xdr:row>
          <xdr:rowOff>171450</xdr:rowOff>
        </xdr:from>
        <xdr:to>
          <xdr:col>18</xdr:col>
          <xdr:colOff>28575</xdr:colOff>
          <xdr:row>7</xdr:row>
          <xdr:rowOff>9525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200025</xdr:colOff>
          <xdr:row>6</xdr:row>
          <xdr:rowOff>9525</xdr:rowOff>
        </xdr:from>
        <xdr:to>
          <xdr:col>10</xdr:col>
          <xdr:colOff>0</xdr:colOff>
          <xdr:row>7</xdr:row>
          <xdr:rowOff>19050</xdr:rowOff>
        </xdr:to>
        <xdr:sp macro="" textlink="">
          <xdr:nvSpPr>
            <xdr:cNvPr id="1037" name="Option Button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28575</xdr:colOff>
          <xdr:row>6</xdr:row>
          <xdr:rowOff>0</xdr:rowOff>
        </xdr:from>
        <xdr:to>
          <xdr:col>26</xdr:col>
          <xdr:colOff>47625</xdr:colOff>
          <xdr:row>7</xdr:row>
          <xdr:rowOff>9525</xdr:rowOff>
        </xdr:to>
        <xdr:sp macro="" textlink="">
          <xdr:nvSpPr>
            <xdr:cNvPr id="1038" name="Option Button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17</xdr:col>
      <xdr:colOff>9525</xdr:colOff>
      <xdr:row>8</xdr:row>
      <xdr:rowOff>38100</xdr:rowOff>
    </xdr:from>
    <xdr:to>
      <xdr:col>22</xdr:col>
      <xdr:colOff>30150</xdr:colOff>
      <xdr:row>13</xdr:row>
      <xdr:rowOff>61372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05175" y="1476375"/>
          <a:ext cx="1116000" cy="985297"/>
        </a:xfrm>
        <a:prstGeom prst="rect">
          <a:avLst/>
        </a:prstGeom>
      </xdr:spPr>
    </xdr:pic>
    <xdr:clientData/>
  </xdr:twoCellAnchor>
  <xdr:twoCellAnchor editAs="oneCell">
    <xdr:from>
      <xdr:col>9</xdr:col>
      <xdr:colOff>9525</xdr:colOff>
      <xdr:row>8</xdr:row>
      <xdr:rowOff>38100</xdr:rowOff>
    </xdr:from>
    <xdr:to>
      <xdr:col>14</xdr:col>
      <xdr:colOff>30150</xdr:colOff>
      <xdr:row>13</xdr:row>
      <xdr:rowOff>58974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1650" y="1476375"/>
          <a:ext cx="1116000" cy="982899"/>
        </a:xfrm>
        <a:prstGeom prst="rect">
          <a:avLst/>
        </a:prstGeom>
      </xdr:spPr>
    </xdr:pic>
    <xdr:clientData/>
  </xdr:twoCellAnchor>
  <xdr:twoCellAnchor editAs="oneCell">
    <xdr:from>
      <xdr:col>25</xdr:col>
      <xdr:colOff>19050</xdr:colOff>
      <xdr:row>8</xdr:row>
      <xdr:rowOff>38100</xdr:rowOff>
    </xdr:from>
    <xdr:to>
      <xdr:col>30</xdr:col>
      <xdr:colOff>11100</xdr:colOff>
      <xdr:row>13</xdr:row>
      <xdr:rowOff>73241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914900" y="1476375"/>
          <a:ext cx="1116000" cy="997166"/>
        </a:xfrm>
        <a:prstGeom prst="rect">
          <a:avLst/>
        </a:prstGeom>
      </xdr:spPr>
    </xdr:pic>
    <xdr:clientData/>
  </xdr:twoCellAnchor>
  <xdr:twoCellAnchor editAs="oneCell">
    <xdr:from>
      <xdr:col>16</xdr:col>
      <xdr:colOff>9526</xdr:colOff>
      <xdr:row>17</xdr:row>
      <xdr:rowOff>9525</xdr:rowOff>
    </xdr:from>
    <xdr:to>
      <xdr:col>20</xdr:col>
      <xdr:colOff>69624</xdr:colOff>
      <xdr:row>20</xdr:row>
      <xdr:rowOff>150600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295651" y="3819525"/>
          <a:ext cx="936398" cy="68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53225</xdr:colOff>
      <xdr:row>17</xdr:row>
      <xdr:rowOff>9525</xdr:rowOff>
    </xdr:from>
    <xdr:to>
      <xdr:col>28</xdr:col>
      <xdr:colOff>27661</xdr:colOff>
      <xdr:row>20</xdr:row>
      <xdr:rowOff>150600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2875" y="3819525"/>
          <a:ext cx="955511" cy="68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47625</xdr:colOff>
          <xdr:row>17</xdr:row>
          <xdr:rowOff>0</xdr:rowOff>
        </xdr:from>
        <xdr:to>
          <xdr:col>6</xdr:col>
          <xdr:colOff>66675</xdr:colOff>
          <xdr:row>22</xdr:row>
          <xdr:rowOff>0</xdr:rowOff>
        </xdr:to>
        <xdr:sp macro="" textlink="">
          <xdr:nvSpPr>
            <xdr:cNvPr id="1048" name="Spinner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41</xdr:row>
          <xdr:rowOff>38100</xdr:rowOff>
        </xdr:from>
        <xdr:to>
          <xdr:col>25</xdr:col>
          <xdr:colOff>161925</xdr:colOff>
          <xdr:row>42</xdr:row>
          <xdr:rowOff>47625</xdr:rowOff>
        </xdr:to>
        <xdr:sp macro="" textlink="">
          <xdr:nvSpPr>
            <xdr:cNvPr id="1049" name="Drop Down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26</xdr:row>
          <xdr:rowOff>38100</xdr:rowOff>
        </xdr:from>
        <xdr:to>
          <xdr:col>30</xdr:col>
          <xdr:colOff>104775</xdr:colOff>
          <xdr:row>29</xdr:row>
          <xdr:rowOff>76200</xdr:rowOff>
        </xdr:to>
        <xdr:sp macro="" textlink="">
          <xdr:nvSpPr>
            <xdr:cNvPr id="1050" name="List Box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7</xdr:col>
      <xdr:colOff>43078</xdr:colOff>
      <xdr:row>16</xdr:row>
      <xdr:rowOff>146685</xdr:rowOff>
    </xdr:from>
    <xdr:to>
      <xdr:col>9</xdr:col>
      <xdr:colOff>214695</xdr:colOff>
      <xdr:row>23</xdr:row>
      <xdr:rowOff>13764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6128" y="4004310"/>
          <a:ext cx="609767" cy="1095804"/>
        </a:xfrm>
        <a:prstGeom prst="rect">
          <a:avLst/>
        </a:prstGeom>
      </xdr:spPr>
    </xdr:pic>
    <xdr:clientData/>
  </xdr:twoCellAnchor>
  <xdr:twoCellAnchor editAs="oneCell">
    <xdr:from>
      <xdr:col>10</xdr:col>
      <xdr:colOff>13125</xdr:colOff>
      <xdr:row>16</xdr:row>
      <xdr:rowOff>173617</xdr:rowOff>
    </xdr:from>
    <xdr:to>
      <xdr:col>13</xdr:col>
      <xdr:colOff>81915</xdr:colOff>
      <xdr:row>23</xdr:row>
      <xdr:rowOff>116635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3400" y="4031242"/>
          <a:ext cx="726015" cy="120031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0</xdr:row>
      <xdr:rowOff>57150</xdr:rowOff>
    </xdr:from>
    <xdr:to>
      <xdr:col>5</xdr:col>
      <xdr:colOff>190369</xdr:colOff>
      <xdr:row>3</xdr:row>
      <xdr:rowOff>9394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47650" y="57150"/>
          <a:ext cx="1047619" cy="1047619"/>
        </a:xfrm>
        <a:prstGeom prst="rect">
          <a:avLst/>
        </a:prstGeom>
      </xdr:spPr>
    </xdr:pic>
    <xdr:clientData/>
  </xdr:twoCellAnchor>
  <xdr:twoCellAnchor>
    <xdr:from>
      <xdr:col>29</xdr:col>
      <xdr:colOff>139699</xdr:colOff>
      <xdr:row>26</xdr:row>
      <xdr:rowOff>33864</xdr:rowOff>
    </xdr:from>
    <xdr:to>
      <xdr:col>31</xdr:col>
      <xdr:colOff>4233</xdr:colOff>
      <xdr:row>29</xdr:row>
      <xdr:rowOff>74364</xdr:rowOff>
    </xdr:to>
    <xdr:grpSp>
      <xdr:nvGrpSpPr>
        <xdr:cNvPr id="14" name="Gruppieren 13"/>
        <xdr:cNvGrpSpPr/>
      </xdr:nvGrpSpPr>
      <xdr:grpSpPr>
        <a:xfrm>
          <a:off x="6597649" y="5415489"/>
          <a:ext cx="302684" cy="612000"/>
          <a:chOff x="2719916" y="5537200"/>
          <a:chExt cx="300567" cy="695325"/>
        </a:xfrm>
      </xdr:grpSpPr>
      <xdr:sp macro="" textlink="">
        <xdr:nvSpPr>
          <xdr:cNvPr id="9" name="Rechteck 8"/>
          <xdr:cNvSpPr/>
        </xdr:nvSpPr>
        <xdr:spPr>
          <a:xfrm>
            <a:off x="2727325" y="5537200"/>
            <a:ext cx="293158" cy="695325"/>
          </a:xfrm>
          <a:prstGeom prst="rect">
            <a:avLst/>
          </a:prstGeom>
          <a:solidFill>
            <a:schemeClr val="bg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DE" sz="1100"/>
          </a:p>
        </xdr:txBody>
      </xdr:sp>
      <xdr:cxnSp macro="">
        <xdr:nvCxnSpPr>
          <xdr:cNvPr id="12" name="Gerade Verbindung 11"/>
          <xdr:cNvCxnSpPr/>
        </xdr:nvCxnSpPr>
        <xdr:spPr>
          <a:xfrm>
            <a:off x="2719916" y="5542412"/>
            <a:ext cx="0" cy="684000"/>
          </a:xfrm>
          <a:prstGeom prst="line">
            <a:avLst/>
          </a:prstGeom>
          <a:ln w="3175">
            <a:solidFill>
              <a:schemeClr val="bg1">
                <a:lumMod val="8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26</xdr:row>
          <xdr:rowOff>9525</xdr:rowOff>
        </xdr:from>
        <xdr:to>
          <xdr:col>18</xdr:col>
          <xdr:colOff>28575</xdr:colOff>
          <xdr:row>27</xdr:row>
          <xdr:rowOff>0</xdr:rowOff>
        </xdr:to>
        <xdr:sp macro="" textlink="">
          <xdr:nvSpPr>
            <xdr:cNvPr id="1051" name="Drop Down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166857</xdr:colOff>
      <xdr:row>23</xdr:row>
      <xdr:rowOff>141669</xdr:rowOff>
    </xdr:from>
    <xdr:to>
      <xdr:col>10</xdr:col>
      <xdr:colOff>199257</xdr:colOff>
      <xdr:row>33</xdr:row>
      <xdr:rowOff>36171</xdr:rowOff>
    </xdr:to>
    <xdr:sp macro="" textlink="">
      <xdr:nvSpPr>
        <xdr:cNvPr id="5" name="Rechteck 4"/>
        <xdr:cNvSpPr/>
      </xdr:nvSpPr>
      <xdr:spPr>
        <a:xfrm>
          <a:off x="1780504" y="3380169"/>
          <a:ext cx="32400" cy="1799502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10</xdr:col>
      <xdr:colOff>154</xdr:colOff>
      <xdr:row>30</xdr:row>
      <xdr:rowOff>68664</xdr:rowOff>
    </xdr:from>
    <xdr:to>
      <xdr:col>12</xdr:col>
      <xdr:colOff>141668</xdr:colOff>
      <xdr:row>31</xdr:row>
      <xdr:rowOff>131360</xdr:rowOff>
    </xdr:to>
    <xdr:pic>
      <xdr:nvPicPr>
        <xdr:cNvPr id="6" name="Grafik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15" y="4640664"/>
          <a:ext cx="539079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</xdr:colOff>
      <xdr:row>25</xdr:row>
      <xdr:rowOff>62127</xdr:rowOff>
    </xdr:from>
    <xdr:to>
      <xdr:col>12</xdr:col>
      <xdr:colOff>141668</xdr:colOff>
      <xdr:row>26</xdr:row>
      <xdr:rowOff>124220</xdr:rowOff>
    </xdr:to>
    <xdr:pic>
      <xdr:nvPicPr>
        <xdr:cNvPr id="7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415" y="3681627"/>
          <a:ext cx="539079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175251</xdr:colOff>
      <xdr:row>16</xdr:row>
      <xdr:rowOff>179769</xdr:rowOff>
    </xdr:from>
    <xdr:to>
      <xdr:col>17</xdr:col>
      <xdr:colOff>4026</xdr:colOff>
      <xdr:row>33</xdr:row>
      <xdr:rowOff>98913</xdr:rowOff>
    </xdr:to>
    <xdr:sp macro="" textlink="">
      <xdr:nvSpPr>
        <xdr:cNvPr id="8" name="Rechteck 7"/>
        <xdr:cNvSpPr/>
      </xdr:nvSpPr>
      <xdr:spPr>
        <a:xfrm>
          <a:off x="2975601" y="2084769"/>
          <a:ext cx="28800" cy="315764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16</xdr:col>
      <xdr:colOff>154</xdr:colOff>
      <xdr:row>18</xdr:row>
      <xdr:rowOff>67260</xdr:rowOff>
    </xdr:from>
    <xdr:to>
      <xdr:col>18</xdr:col>
      <xdr:colOff>141668</xdr:colOff>
      <xdr:row>19</xdr:row>
      <xdr:rowOff>129353</xdr:rowOff>
    </xdr:to>
    <xdr:pic>
      <xdr:nvPicPr>
        <xdr:cNvPr id="9" name="Grafik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19" y="2353260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154</xdr:colOff>
      <xdr:row>24</xdr:row>
      <xdr:rowOff>67262</xdr:rowOff>
    </xdr:from>
    <xdr:to>
      <xdr:col>18</xdr:col>
      <xdr:colOff>141668</xdr:colOff>
      <xdr:row>25</xdr:row>
      <xdr:rowOff>129355</xdr:rowOff>
    </xdr:to>
    <xdr:pic>
      <xdr:nvPicPr>
        <xdr:cNvPr id="10" name="Grafik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19" y="3496262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155</xdr:colOff>
      <xdr:row>30</xdr:row>
      <xdr:rowOff>68664</xdr:rowOff>
    </xdr:from>
    <xdr:to>
      <xdr:col>18</xdr:col>
      <xdr:colOff>141669</xdr:colOff>
      <xdr:row>31</xdr:row>
      <xdr:rowOff>131360</xdr:rowOff>
    </xdr:to>
    <xdr:pic>
      <xdr:nvPicPr>
        <xdr:cNvPr id="11" name="Grafik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1020" y="4640664"/>
          <a:ext cx="544495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22</xdr:col>
      <xdr:colOff>175250</xdr:colOff>
      <xdr:row>11</xdr:row>
      <xdr:rowOff>260</xdr:rowOff>
    </xdr:from>
    <xdr:to>
      <xdr:col>23</xdr:col>
      <xdr:colOff>4025</xdr:colOff>
      <xdr:row>33</xdr:row>
      <xdr:rowOff>95250</xdr:rowOff>
    </xdr:to>
    <xdr:sp macro="" textlink="">
      <xdr:nvSpPr>
        <xdr:cNvPr id="12" name="Rechteck 11"/>
        <xdr:cNvSpPr/>
      </xdr:nvSpPr>
      <xdr:spPr>
        <a:xfrm>
          <a:off x="4175750" y="952760"/>
          <a:ext cx="28800" cy="428599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xdr:twoCellAnchor editAs="oneCell">
    <xdr:from>
      <xdr:col>22</xdr:col>
      <xdr:colOff>153</xdr:colOff>
      <xdr:row>12</xdr:row>
      <xdr:rowOff>63598</xdr:rowOff>
    </xdr:from>
    <xdr:to>
      <xdr:col>24</xdr:col>
      <xdr:colOff>141668</xdr:colOff>
      <xdr:row>13</xdr:row>
      <xdr:rowOff>125691</xdr:rowOff>
    </xdr:to>
    <xdr:pic>
      <xdr:nvPicPr>
        <xdr:cNvPr id="13" name="Grafik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1206598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153</xdr:colOff>
      <xdr:row>18</xdr:row>
      <xdr:rowOff>4983</xdr:rowOff>
    </xdr:from>
    <xdr:to>
      <xdr:col>24</xdr:col>
      <xdr:colOff>141668</xdr:colOff>
      <xdr:row>19</xdr:row>
      <xdr:rowOff>67076</xdr:rowOff>
    </xdr:to>
    <xdr:pic>
      <xdr:nvPicPr>
        <xdr:cNvPr id="14" name="Grafik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2290983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154</xdr:colOff>
      <xdr:row>30</xdr:row>
      <xdr:rowOff>68664</xdr:rowOff>
    </xdr:from>
    <xdr:to>
      <xdr:col>24</xdr:col>
      <xdr:colOff>141669</xdr:colOff>
      <xdr:row>31</xdr:row>
      <xdr:rowOff>131360</xdr:rowOff>
    </xdr:to>
    <xdr:pic>
      <xdr:nvPicPr>
        <xdr:cNvPr id="15" name="Grafik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2" y="4640664"/>
          <a:ext cx="544495" cy="253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153</xdr:colOff>
      <xdr:row>24</xdr:row>
      <xdr:rowOff>188141</xdr:rowOff>
    </xdr:from>
    <xdr:to>
      <xdr:col>24</xdr:col>
      <xdr:colOff>141668</xdr:colOff>
      <xdr:row>26</xdr:row>
      <xdr:rowOff>59734</xdr:rowOff>
    </xdr:to>
    <xdr:pic>
      <xdr:nvPicPr>
        <xdr:cNvPr id="16" name="Grafik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961" y="3617141"/>
          <a:ext cx="544495" cy="2525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33617</xdr:colOff>
      <xdr:row>30</xdr:row>
      <xdr:rowOff>72838</xdr:rowOff>
    </xdr:from>
    <xdr:to>
      <xdr:col>30</xdr:col>
      <xdr:colOff>177557</xdr:colOff>
      <xdr:row>31</xdr:row>
      <xdr:rowOff>135418</xdr:rowOff>
    </xdr:to>
    <xdr:pic>
      <xdr:nvPicPr>
        <xdr:cNvPr id="20" name="Grafik 19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4644838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33617</xdr:colOff>
      <xdr:row>25</xdr:row>
      <xdr:rowOff>61632</xdr:rowOff>
    </xdr:from>
    <xdr:to>
      <xdr:col>30</xdr:col>
      <xdr:colOff>177557</xdr:colOff>
      <xdr:row>26</xdr:row>
      <xdr:rowOff>124212</xdr:rowOff>
    </xdr:to>
    <xdr:pic>
      <xdr:nvPicPr>
        <xdr:cNvPr id="21" name="Grafik 2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3681132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33617</xdr:colOff>
      <xdr:row>20</xdr:row>
      <xdr:rowOff>16809</xdr:rowOff>
    </xdr:from>
    <xdr:to>
      <xdr:col>30</xdr:col>
      <xdr:colOff>177557</xdr:colOff>
      <xdr:row>21</xdr:row>
      <xdr:rowOff>79389</xdr:rowOff>
    </xdr:to>
    <xdr:pic>
      <xdr:nvPicPr>
        <xdr:cNvPr id="22" name="Grafik 2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2683809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33617</xdr:colOff>
      <xdr:row>14</xdr:row>
      <xdr:rowOff>140073</xdr:rowOff>
    </xdr:from>
    <xdr:to>
      <xdr:col>30</xdr:col>
      <xdr:colOff>177557</xdr:colOff>
      <xdr:row>16</xdr:row>
      <xdr:rowOff>12153</xdr:rowOff>
    </xdr:to>
    <xdr:pic>
      <xdr:nvPicPr>
        <xdr:cNvPr id="23" name="Grafik 2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1664073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33617</xdr:colOff>
      <xdr:row>9</xdr:row>
      <xdr:rowOff>72837</xdr:rowOff>
    </xdr:from>
    <xdr:to>
      <xdr:col>30</xdr:col>
      <xdr:colOff>177557</xdr:colOff>
      <xdr:row>10</xdr:row>
      <xdr:rowOff>135417</xdr:rowOff>
    </xdr:to>
    <xdr:pic>
      <xdr:nvPicPr>
        <xdr:cNvPr id="24" name="Grafik 2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77970" y="644337"/>
          <a:ext cx="547352" cy="253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23</xdr:col>
      <xdr:colOff>0</xdr:colOff>
      <xdr:row>23</xdr:row>
      <xdr:rowOff>9525</xdr:rowOff>
    </xdr:from>
    <xdr:to>
      <xdr:col>29</xdr:col>
      <xdr:colOff>9525</xdr:colOff>
      <xdr:row>23</xdr:row>
      <xdr:rowOff>9525</xdr:rowOff>
    </xdr:to>
    <xdr:cxnSp macro="">
      <xdr:nvCxnSpPr>
        <xdr:cNvPr id="33" name="Gerade Verbindung mit Pfeil 32"/>
        <xdr:cNvCxnSpPr/>
      </xdr:nvCxnSpPr>
      <xdr:spPr>
        <a:xfrm>
          <a:off x="4733925" y="3838575"/>
          <a:ext cx="1209675" cy="0"/>
        </a:xfrm>
        <a:prstGeom prst="straightConnector1">
          <a:avLst/>
        </a:prstGeom>
        <a:ln>
          <a:solidFill>
            <a:sysClr val="windowText" lastClr="000000"/>
          </a:solidFill>
          <a:headEnd type="triangle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13</xdr:row>
      <xdr:rowOff>1</xdr:rowOff>
    </xdr:from>
    <xdr:to>
      <xdr:col>19</xdr:col>
      <xdr:colOff>104775</xdr:colOff>
      <xdr:row>32</xdr:row>
      <xdr:rowOff>171451</xdr:rowOff>
    </xdr:to>
    <xdr:sp macro="" textlink="">
      <xdr:nvSpPr>
        <xdr:cNvPr id="34" name="Freihandform 33"/>
        <xdr:cNvSpPr/>
      </xdr:nvSpPr>
      <xdr:spPr>
        <a:xfrm>
          <a:off x="933450" y="1905001"/>
          <a:ext cx="3105150" cy="3790950"/>
        </a:xfrm>
        <a:custGeom>
          <a:avLst/>
          <a:gdLst>
            <a:gd name="connsiteX0" fmla="*/ 0 w 3162300"/>
            <a:gd name="connsiteY0" fmla="*/ 0 h 3819525"/>
            <a:gd name="connsiteX1" fmla="*/ 3143250 w 3162300"/>
            <a:gd name="connsiteY1" fmla="*/ 0 h 3819525"/>
            <a:gd name="connsiteX2" fmla="*/ 3162300 w 3162300"/>
            <a:gd name="connsiteY2" fmla="*/ 3819525 h 38195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3162300" h="3819525">
              <a:moveTo>
                <a:pt x="0" y="0"/>
              </a:moveTo>
              <a:lnTo>
                <a:pt x="3143250" y="0"/>
              </a:lnTo>
              <a:lnTo>
                <a:pt x="3162300" y="3819525"/>
              </a:lnTo>
            </a:path>
          </a:pathLst>
        </a:cu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171450</xdr:colOff>
          <xdr:row>25</xdr:row>
          <xdr:rowOff>19050</xdr:rowOff>
        </xdr:from>
        <xdr:to>
          <xdr:col>47</xdr:col>
          <xdr:colOff>180975</xdr:colOff>
          <xdr:row>26</xdr:row>
          <xdr:rowOff>28575</xdr:rowOff>
        </xdr:to>
        <xdr:sp macro="" textlink="">
          <xdr:nvSpPr>
            <xdr:cNvPr id="6149" name="Drop Down 5" hidden="1">
              <a:extLst>
                <a:ext uri="{63B3BB69-23CF-44E3-9099-C40C66FF867C}">
                  <a14:compatExt spid="_x0000_s61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38100</xdr:colOff>
          <xdr:row>28</xdr:row>
          <xdr:rowOff>0</xdr:rowOff>
        </xdr:from>
        <xdr:to>
          <xdr:col>47</xdr:col>
          <xdr:colOff>47625</xdr:colOff>
          <xdr:row>29</xdr:row>
          <xdr:rowOff>0</xdr:rowOff>
        </xdr:to>
        <xdr:sp macro="" textlink="">
          <xdr:nvSpPr>
            <xdr:cNvPr id="6159" name="Spinner 15" hidden="1">
              <a:extLst>
                <a:ext uri="{63B3BB69-23CF-44E3-9099-C40C66FF867C}">
                  <a14:compatExt spid="_x0000_s615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38100</xdr:colOff>
          <xdr:row>29</xdr:row>
          <xdr:rowOff>0</xdr:rowOff>
        </xdr:from>
        <xdr:to>
          <xdr:col>47</xdr:col>
          <xdr:colOff>47625</xdr:colOff>
          <xdr:row>30</xdr:row>
          <xdr:rowOff>0</xdr:rowOff>
        </xdr:to>
        <xdr:sp macro="" textlink="">
          <xdr:nvSpPr>
            <xdr:cNvPr id="6160" name="Spinner 16" hidden="1">
              <a:extLst>
                <a:ext uri="{63B3BB69-23CF-44E3-9099-C40C66FF867C}">
                  <a14:compatExt spid="_x0000_s616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46</xdr:col>
          <xdr:colOff>38100</xdr:colOff>
          <xdr:row>30</xdr:row>
          <xdr:rowOff>9525</xdr:rowOff>
        </xdr:from>
        <xdr:to>
          <xdr:col>47</xdr:col>
          <xdr:colOff>47625</xdr:colOff>
          <xdr:row>31</xdr:row>
          <xdr:rowOff>9525</xdr:rowOff>
        </xdr:to>
        <xdr:sp macro="" textlink="">
          <xdr:nvSpPr>
            <xdr:cNvPr id="6161" name="Spinner 17" hidden="1">
              <a:extLst>
                <a:ext uri="{63B3BB69-23CF-44E3-9099-C40C66FF867C}">
                  <a14:compatExt spid="_x0000_s61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9525</xdr:colOff>
          <xdr:row>3</xdr:row>
          <xdr:rowOff>0</xdr:rowOff>
        </xdr:from>
        <xdr:to>
          <xdr:col>48</xdr:col>
          <xdr:colOff>123825</xdr:colOff>
          <xdr:row>3</xdr:row>
          <xdr:rowOff>180975</xdr:rowOff>
        </xdr:to>
        <xdr:sp macro="" textlink="">
          <xdr:nvSpPr>
            <xdr:cNvPr id="6163" name="Drop Down 19" hidden="1">
              <a:extLst>
                <a:ext uri="{63B3BB69-23CF-44E3-9099-C40C66FF867C}">
                  <a14:compatExt spid="_x0000_s61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2</xdr:col>
      <xdr:colOff>19050</xdr:colOff>
      <xdr:row>0</xdr:row>
      <xdr:rowOff>19051</xdr:rowOff>
    </xdr:from>
    <xdr:to>
      <xdr:col>52</xdr:col>
      <xdr:colOff>188850</xdr:colOff>
      <xdr:row>0</xdr:row>
      <xdr:rowOff>1262152</xdr:rowOff>
    </xdr:to>
    <xdr:pic>
      <xdr:nvPicPr>
        <xdr:cNvPr id="51" name="Grafik 5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9051"/>
          <a:ext cx="10152000" cy="1243101"/>
        </a:xfrm>
        <a:prstGeom prst="rect">
          <a:avLst/>
        </a:prstGeom>
      </xdr:spPr>
    </xdr:pic>
    <xdr:clientData/>
  </xdr:twoCellAnchor>
  <xdr:twoCellAnchor>
    <xdr:from>
      <xdr:col>35</xdr:col>
      <xdr:colOff>85725</xdr:colOff>
      <xdr:row>33</xdr:row>
      <xdr:rowOff>133350</xdr:rowOff>
    </xdr:from>
    <xdr:to>
      <xdr:col>46</xdr:col>
      <xdr:colOff>171450</xdr:colOff>
      <xdr:row>35</xdr:row>
      <xdr:rowOff>76200</xdr:rowOff>
    </xdr:to>
    <xdr:sp macro="" textlink="">
      <xdr:nvSpPr>
        <xdr:cNvPr id="2" name="Rechteck 1"/>
        <xdr:cNvSpPr/>
      </xdr:nvSpPr>
      <xdr:spPr>
        <a:xfrm>
          <a:off x="7067550" y="7524750"/>
          <a:ext cx="2286000" cy="323850"/>
        </a:xfrm>
        <a:prstGeom prst="rect">
          <a:avLst/>
        </a:prstGeom>
        <a:solidFill>
          <a:srgbClr val="00822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219075</xdr:colOff>
          <xdr:row>123</xdr:row>
          <xdr:rowOff>104775</xdr:rowOff>
        </xdr:from>
        <xdr:to>
          <xdr:col>15</xdr:col>
          <xdr:colOff>0</xdr:colOff>
          <xdr:row>124</xdr:row>
          <xdr:rowOff>85725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735</xdr:row>
      <xdr:rowOff>0</xdr:rowOff>
    </xdr:from>
    <xdr:to>
      <xdr:col>25</xdr:col>
      <xdr:colOff>684077</xdr:colOff>
      <xdr:row>737</xdr:row>
      <xdr:rowOff>38050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4552950"/>
          <a:ext cx="13790477" cy="40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e1" displayName="Tabelle1" ref="A1:V719" totalsRowShown="0" headerRowDxfId="65" headerRowBorderDxfId="64" tableBorderDxfId="63" headerRowCellStyle="Ausgabe">
  <autoFilter ref="A1:V719"/>
  <tableColumns count="22">
    <tableColumn id="16" name="Spalte3" dataDxfId="62" dataCellStyle="Standard_Tabelle6">
      <calculatedColumnFormula>LEFT(Tabelle1[[#This Row],[Artikel'#]],4)</calculatedColumnFormula>
    </tableColumn>
    <tableColumn id="15" name="Spalte2" dataDxfId="61" dataCellStyle="Standard_Tabelle6">
      <calculatedColumnFormula>MID(Tabelle1[[#This Row],[Artikel'#]],5,3)</calculatedColumnFormula>
    </tableColumn>
    <tableColumn id="14" name="Spalte1" dataDxfId="60" dataCellStyle="Standard_Tabelle6">
      <calculatedColumnFormula>RIGHT(Tabelle1[[#This Row],[Artikel'#]],3)</calculatedColumnFormula>
    </tableColumn>
    <tableColumn id="18" name="Winkel" dataDxfId="59" dataCellStyle="Standard_Tabelle6">
      <calculatedColumnFormula>IF(Tabelle1[[#This Row],[Winkel2]]=select!$A$2,1,0)</calculatedColumnFormula>
    </tableColumn>
    <tableColumn id="17" name="Kröpfung" dataDxfId="58" dataCellStyle="Standard_Tabelle6">
      <calculatedColumnFormula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calculatedColumnFormula>
    </tableColumn>
    <tableColumn id="19" name="Däpfung" dataDxfId="57" dataCellStyle="Standard_Tabelle6">
      <calculatedColumnFormula>IF(select!$E$16=IF(Tabelle1[[#This Row],[mit Dämpfung]]=1,1,IF(Tabelle1[[#This Row],[ohne Dämpfung]]=1,2,IF(Tabelle1[[#This Row],[ohne Feder]]=1,3,0))),1,0)</calculatedColumnFormula>
    </tableColumn>
    <tableColumn id="20" name="Bohrbild" dataDxfId="56" dataCellStyle="Standard_Tabelle6">
      <calculatedColumnFormula>IF(Tabelle1[[#This Row],[Links]]=select!$I$2,1,0)</calculatedColumnFormula>
    </tableColumn>
    <tableColumn id="21" name="Scharnierbefestigung" dataDxfId="55" dataCellStyle="Standard_Tabelle6">
      <calculatedColumnFormula>IF(IF(Tabelle1[[#This Row],[Anschrauben]]=1,1,IF(Tabelle1[[#This Row],[Einpressen]]=1,2,IF(Tabelle1[[#This Row],[Werkzeuglos]]=1,3,0)))=select!$E$7,1,0)</calculatedColumnFormula>
    </tableColumn>
    <tableColumn id="22" name="Gesamt" dataDxfId="54" dataCellStyle="Standard_Tabelle6">
      <calculatedColumnFormula>IF(Tabelle1[[#This Row],[Winkel]]+Tabelle1[[#This Row],[Kröpfung]]+Tabelle1[[#This Row],[Däpfung]]+Tabelle1[[#This Row],[Bohrbild]]+Tabelle1[[#This Row],[Scharnierbefestigung]]=5,1,0)</calculatedColumnFormula>
    </tableColumn>
    <tableColumn id="2" name="Bezeichnung 1"/>
    <tableColumn id="3" name="Bezeichnung 2"/>
    <tableColumn id="4" name="Bezeichnung TGr"/>
    <tableColumn id="5" name="Kröpfung2"/>
    <tableColumn id="6" name="Links"/>
    <tableColumn id="7" name="Winkel2"/>
    <tableColumn id="8" name="mit Dämpfung"/>
    <tableColumn id="9" name="ohne Dämpfung"/>
    <tableColumn id="10" name="ohne Feder"/>
    <tableColumn id="11" name="Anschrauben"/>
    <tableColumn id="12" name="Einpressen"/>
    <tableColumn id="13" name="Werkzeuglos"/>
    <tableColumn id="1" name="Artikel#" dataDxfId="53" dataCellStyle="Standard_Tabelle6"/>
  </tableColumns>
  <tableStyleInfo name="TableStyleMedium21" showFirstColumn="0" showLastColumn="0" showRowStripes="1" showColumnStripes="0"/>
</table>
</file>

<file path=xl/tables/table2.xml><?xml version="1.0" encoding="utf-8"?>
<table xmlns="http://schemas.openxmlformats.org/spreadsheetml/2006/main" id="2" name="Tabelle2" displayName="Tabelle2" ref="A1:AA96" totalsRowCount="1" headerRowDxfId="52" headerRowCellStyle="Ausgabe">
  <autoFilter ref="A1:AA95"/>
  <sortState ref="A2:AA95">
    <sortCondition ref="Z1:Z95"/>
  </sortState>
  <tableColumns count="27">
    <tableColumn id="1" name="Spalte1" totalsRowLabel="Ergebnis" dataDxfId="51" totalsRowDxfId="50">
      <calculatedColumnFormula>LEFT(AA2,4)</calculatedColumnFormula>
    </tableColumn>
    <tableColumn id="2" name="Spalte2">
      <calculatedColumnFormula>MID(AA2,5,3)</calculatedColumnFormula>
    </tableColumn>
    <tableColumn id="3" name="Spalte3" dataDxfId="49" totalsRowDxfId="48">
      <calculatedColumnFormula>RIGHT(AA2,3)</calculatedColumnFormula>
    </tableColumn>
    <tableColumn id="20" name="Kreuz/linear" dataDxfId="47" totalsRowDxfId="46">
      <calculatedColumnFormula>IF(select!$H$16=1,Tabelle2[[#This Row],[Kreuz]],IF(select!$H$16=2,Tabelle2[[#This Row],[Linear]],0))</calculatedColumnFormula>
    </tableColumn>
    <tableColumn id="21" name="Befestigung" dataDxfId="45" totalsRowDxfId="44">
      <calculatedColumnFormula>IF(select!$L$15=IF(Tabelle2[[#This Row],[zum einpressen]]=1,1,IF(Tabelle2[[#This Row],[zum anschrauben mit Holzschrauben]]=1,2,IF(Tabelle2[[#This Row],[zum anschrauben mit Euroschrauben]]=1,3,IF(Tabelle2[[#This Row],[vorm. Euro '[13,5']]]=1,4,5)))),1,0)</calculatedColumnFormula>
    </tableColumn>
    <tableColumn id="5" name="Anordnung" dataDxfId="43" totalsRowDxfId="42">
      <calculatedColumnFormula>IF(Tabelle2[[#This Row],[37/32]]=1,1,IF(Tabelle2[[#This Row],[28/32]]=1,2,0))</calculatedColumnFormula>
    </tableColumn>
    <tableColumn id="22" name="Randbedingungen" dataDxfId="41" totalsRowDxfId="40">
      <calculatedColumnFormula>IF(Tabelle2[[#This Row],[Kreuz/linear]]+Tabelle2[[#This Row],[Befestigung]]=2,1,0)</calculatedColumnFormula>
    </tableColumn>
    <tableColumn id="26" name="Kröpfung 3" totalsRowFunction="max" dataDxfId="39" totalsRowDxfId="38">
      <calculatedColumnFormula>IF(Tabelle2[[#This Row],[Randbedingungen]]+IF(Tabelle2[[#This Row],[Höhe]]=select!$B$29,1,0)=2,1,0)</calculatedColumnFormula>
    </tableColumn>
    <tableColumn id="25" name="Kröpfung 0" totalsRowFunction="max" dataDxfId="37" totalsRowDxfId="36">
      <calculatedColumnFormula>IF(Tabelle2[[#This Row],[Randbedingungen]]+IF(Tabelle2[[#This Row],[Höhe]]=select!$D$29,1,0)=2,1,0)</calculatedColumnFormula>
    </tableColumn>
    <tableColumn id="24" name="Kröpfung 9,5" totalsRowFunction="max" dataDxfId="35" totalsRowDxfId="34">
      <calculatedColumnFormula>IF(Tabelle2[[#This Row],[Randbedingungen]]+IF(Tabelle2[[#This Row],[Höhe]]=select!$F$29,1,0)=2,1,0)</calculatedColumnFormula>
    </tableColumn>
    <tableColumn id="23" name="Kröpfung 19" totalsRowFunction="max" dataDxfId="33" totalsRowDxfId="32">
      <calculatedColumnFormula>IF(Tabelle2[[#This Row],[Randbedingungen]]+IF(Tabelle2[[#This Row],[Höhe]]=select!$H$29,1,0)=2,1,0)</calculatedColumnFormula>
    </tableColumn>
    <tableColumn id="6" name="auswahl K" totalsRowFunction="max" dataDxfId="31" totalsRowDxfId="30">
      <calculatedColumnFormula>IF(select!$F$86=-1000,1,IF(IF(Tabelle2[[#This Row],[Kröpfung 3]]=1,3,IF(Tabelle2[[#This Row],[Kröpfung 0]]=1,0,IF(Tabelle2[[#This Row],[Kröpfung 9,5]]=1,9.5,IF(Tabelle2[[#This Row],[Kröpfung 19]]=1,19,""))))=select!$F$86,1,0))</calculatedColumnFormula>
    </tableColumn>
    <tableColumn id="27" name="Gesamt" totalsRowFunction="max" dataDxfId="29" totalsRowDxfId="28">
      <calculatedColumnFormula>IF(Tabelle2[[#This Row],[Kröpfung 3]]+Tabelle2[[#This Row],[Kröpfung 0]]+Tabelle2[[#This Row],[Kröpfung 9,5]]+Tabelle2[[#This Row],[Kröpfung 19]]+Tabelle2[[#This Row],[auswahl K]]=2,1,0)</calculatedColumnFormula>
    </tableColumn>
    <tableColumn id="7" name="Bezeichnung 1" dataDxfId="27" totalsRowDxfId="26">
      <calculatedColumnFormula>Sprache!$A$47</calculatedColumnFormula>
    </tableColumn>
    <tableColumn id="8" name="Bezeichnung 2"/>
    <tableColumn id="9" name="Bezeichnung TGr">
      <calculatedColumnFormula>Sprache!$A$49</calculatedColumnFormula>
    </tableColumn>
    <tableColumn id="10" name="Kreuz" dataDxfId="25" totalsRowDxfId="24"/>
    <tableColumn id="11" name="Linear" dataDxfId="23" totalsRowDxfId="22"/>
    <tableColumn id="12" name="zum einpressen" dataDxfId="21" totalsRowDxfId="20"/>
    <tableColumn id="13" name="zum anschrauben mit Holzschrauben" dataDxfId="19" totalsRowDxfId="18"/>
    <tableColumn id="14" name="zum anschrauben mit Euroschrauben" dataDxfId="17" totalsRowDxfId="16"/>
    <tableColumn id="15" name="vorm. Euro [13,5]" dataDxfId="15" totalsRowDxfId="14"/>
    <tableColumn id="16" name="vorm. Euro [10,5]" dataDxfId="13" totalsRowDxfId="12"/>
    <tableColumn id="17" name="37/32"/>
    <tableColumn id="18" name="28/32"/>
    <tableColumn id="19" name="Höhe"/>
    <tableColumn id="4" name="Teil" totalsRowFunction="count" dataDxfId="11" totalsRowDxfId="10" dataCellStyle="Standard_MP Artikel#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7" Type="http://schemas.openxmlformats.org/officeDocument/2006/relationships/ctrlProp" Target="../ctrlProps/ctrlProp19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0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E58"/>
  <sheetViews>
    <sheetView showGridLines="0" showRowColHeaders="0" tabSelected="1" zoomScaleNormal="100" workbookViewId="0"/>
  </sheetViews>
  <sheetFormatPr baseColWidth="10" defaultRowHeight="15" x14ac:dyDescent="0.25"/>
  <cols>
    <col min="1" max="24" width="3.28515625" customWidth="1"/>
    <col min="25" max="25" width="4.42578125" customWidth="1"/>
    <col min="26" max="27" width="3.28515625" customWidth="1"/>
    <col min="28" max="28" width="3.7109375" customWidth="1"/>
    <col min="29" max="50" width="3.28515625" customWidth="1"/>
  </cols>
  <sheetData>
    <row r="1" spans="1:30" ht="15" customHeight="1" x14ac:dyDescent="0.25"/>
    <row r="2" spans="1:30" ht="56.25" customHeight="1" x14ac:dyDescent="0.25">
      <c r="A2" s="76"/>
      <c r="B2" s="76"/>
      <c r="C2" s="76"/>
      <c r="D2" s="76"/>
      <c r="E2" s="76"/>
      <c r="F2" s="76"/>
      <c r="G2" s="76"/>
      <c r="H2" s="78" t="s">
        <v>962</v>
      </c>
      <c r="I2" s="77"/>
      <c r="J2" s="77"/>
      <c r="K2" s="77"/>
      <c r="L2" s="77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</row>
    <row r="4" spans="1:30" x14ac:dyDescent="0.25">
      <c r="W4" t="str">
        <f ca="1">Sprache!A19</f>
        <v>language</v>
      </c>
    </row>
    <row r="5" spans="1:30" ht="24" thickBot="1" x14ac:dyDescent="0.4">
      <c r="B5" s="65" t="str">
        <f ca="1">Sprache!A20</f>
        <v>Hinge</v>
      </c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</row>
    <row r="7" spans="1:30" x14ac:dyDescent="0.25">
      <c r="C7" t="s">
        <v>30</v>
      </c>
      <c r="K7" t="s">
        <v>35</v>
      </c>
      <c r="R7" t="s">
        <v>33</v>
      </c>
      <c r="Z7" t="s">
        <v>34</v>
      </c>
    </row>
    <row r="8" spans="1:30" x14ac:dyDescent="0.25">
      <c r="B8" t="s">
        <v>8</v>
      </c>
      <c r="J8" t="s">
        <v>10</v>
      </c>
      <c r="R8" t="s">
        <v>9</v>
      </c>
      <c r="Z8" t="s">
        <v>11</v>
      </c>
    </row>
    <row r="11" spans="1:30" ht="15.75" customHeight="1" x14ac:dyDescent="0.25"/>
    <row r="15" spans="1:30" ht="14.25" customHeight="1" x14ac:dyDescent="0.25"/>
    <row r="16" spans="1:30" ht="14.25" customHeight="1" x14ac:dyDescent="0.25">
      <c r="B16" s="79" t="str">
        <f ca="1">Sprache!A22</f>
        <v>Overlay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6"/>
      <c r="Q16" s="79" t="str">
        <f ca="1">Sprache!A21</f>
        <v>Drilling pattern</v>
      </c>
      <c r="R16" s="79"/>
      <c r="S16" s="79"/>
      <c r="T16" s="79"/>
      <c r="U16" s="79"/>
      <c r="V16" s="79"/>
      <c r="W16" s="76"/>
      <c r="X16" s="79"/>
      <c r="Y16" s="79" t="str">
        <f ca="1">Sprache!A23</f>
        <v>Cup distance</v>
      </c>
      <c r="Z16" s="79"/>
      <c r="AA16" s="79"/>
      <c r="AB16" s="76"/>
      <c r="AC16" s="76"/>
      <c r="AD16" s="76"/>
    </row>
    <row r="17" spans="2:30" ht="10.5" customHeight="1" x14ac:dyDescent="0.25">
      <c r="B17" s="6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2:30" ht="14.25" customHeight="1" x14ac:dyDescent="0.25">
      <c r="B18" s="110">
        <f>IFERROR(B19+select!A75,"---")</f>
        <v>13</v>
      </c>
      <c r="C18" s="110"/>
      <c r="D18" s="110"/>
      <c r="E18" s="110"/>
      <c r="Q18" s="1"/>
    </row>
    <row r="19" spans="2:30" ht="14.25" customHeight="1" x14ac:dyDescent="0.25">
      <c r="B19" s="111">
        <f>select!F3</f>
        <v>6</v>
      </c>
      <c r="C19" s="112"/>
      <c r="D19" s="112"/>
      <c r="E19" s="113"/>
      <c r="F19" s="12"/>
    </row>
    <row r="20" spans="2:30" ht="14.25" customHeight="1" x14ac:dyDescent="0.25">
      <c r="B20" s="114"/>
      <c r="C20" s="115"/>
      <c r="D20" s="115"/>
      <c r="E20" s="116"/>
      <c r="F20" s="12"/>
    </row>
    <row r="21" spans="2:30" ht="14.25" customHeight="1" x14ac:dyDescent="0.25">
      <c r="B21" s="114"/>
      <c r="C21" s="115"/>
      <c r="D21" s="115"/>
      <c r="E21" s="116"/>
      <c r="F21" s="12"/>
    </row>
    <row r="22" spans="2:30" ht="14.25" customHeight="1" x14ac:dyDescent="0.25">
      <c r="B22" s="109">
        <f>IFERROR(B19+select!A51,"---")</f>
        <v>0</v>
      </c>
      <c r="C22" s="109"/>
      <c r="D22" s="109"/>
      <c r="E22" s="109"/>
      <c r="F22" s="12"/>
    </row>
    <row r="23" spans="2:30" ht="14.25" customHeight="1" x14ac:dyDescent="0.25"/>
    <row r="25" spans="2:30" x14ac:dyDescent="0.25">
      <c r="B25" s="79" t="str">
        <f ca="1">Sprache!A26</f>
        <v>Hinge type</v>
      </c>
      <c r="C25" s="79"/>
      <c r="D25" s="79"/>
      <c r="E25" s="79"/>
      <c r="F25" s="79"/>
      <c r="G25" s="79"/>
      <c r="H25" s="79"/>
      <c r="I25" s="80"/>
      <c r="J25" s="80"/>
      <c r="K25" s="76"/>
      <c r="L25" s="76"/>
      <c r="M25" s="79" t="str">
        <f ca="1">Sprache!A25</f>
        <v>Mounting plate fixing</v>
      </c>
      <c r="N25" s="80"/>
      <c r="O25" s="80"/>
      <c r="P25" s="80"/>
      <c r="Q25" s="80"/>
      <c r="R25" s="80"/>
      <c r="S25" s="80"/>
      <c r="T25" s="80"/>
      <c r="U25" s="80"/>
      <c r="V25" s="79"/>
      <c r="W25" s="76"/>
      <c r="X25" s="76"/>
      <c r="Y25" s="76"/>
      <c r="Z25" s="76"/>
      <c r="AA25" s="80"/>
      <c r="AB25" s="82" t="s">
        <v>958</v>
      </c>
      <c r="AC25" s="80"/>
      <c r="AD25" s="80"/>
    </row>
    <row r="26" spans="2:30" ht="8.25" customHeight="1" x14ac:dyDescent="0.25"/>
    <row r="27" spans="2:30" ht="15" customHeight="1" x14ac:dyDescent="0.25"/>
    <row r="28" spans="2:30" ht="15" customHeight="1" x14ac:dyDescent="0.25"/>
    <row r="29" spans="2:30" ht="15" customHeight="1" x14ac:dyDescent="0.25">
      <c r="B29" s="107" t="str">
        <f ca="1">select!H88</f>
        <v/>
      </c>
      <c r="Y29" s="108" t="str">
        <f ca="1">select!H87</f>
        <v/>
      </c>
    </row>
    <row r="30" spans="2:30" ht="15" customHeight="1" x14ac:dyDescent="0.25"/>
    <row r="31" spans="2:30" ht="15" customHeight="1" x14ac:dyDescent="0.25">
      <c r="B31" s="34" t="str">
        <f ca="1">B5</f>
        <v>Hinge</v>
      </c>
      <c r="AB31" s="57" t="str">
        <f ca="1">AB45</f>
        <v>Item#</v>
      </c>
    </row>
    <row r="32" spans="2:30" x14ac:dyDescent="0.25">
      <c r="B32" s="89" t="str">
        <f ca="1">select!F115</f>
        <v>TIOMOS Click-on hinges</v>
      </c>
      <c r="C32" s="90"/>
      <c r="D32" s="90"/>
      <c r="E32" s="90"/>
      <c r="F32" s="90"/>
      <c r="G32" s="90"/>
      <c r="H32" s="90"/>
      <c r="I32" s="90"/>
      <c r="J32" s="90" t="str">
        <f ca="1">select!D115</f>
        <v>TIOMOS hinge TS-Click-on</v>
      </c>
      <c r="K32" s="90"/>
      <c r="L32" s="90"/>
      <c r="M32" s="90"/>
      <c r="N32" s="90"/>
      <c r="O32" s="90"/>
      <c r="P32" s="90"/>
      <c r="Q32" s="90"/>
      <c r="R32" s="90"/>
      <c r="S32" s="90" t="str">
        <f ca="1">select!E115</f>
        <v>110°, B-BB, K95, Dowel, ni</v>
      </c>
      <c r="T32" s="90"/>
      <c r="U32" s="90"/>
      <c r="V32" s="90"/>
      <c r="W32" s="90"/>
      <c r="X32" s="90"/>
      <c r="Y32" s="90"/>
      <c r="Z32" s="90"/>
      <c r="AA32" s="58" t="str">
        <f ca="1">select!A115</f>
        <v>F028</v>
      </c>
      <c r="AB32" s="55" t="str">
        <f ca="1">select!B115</f>
        <v>138</v>
      </c>
      <c r="AC32" s="61" t="str">
        <f ca="1">select!C115</f>
        <v>525</v>
      </c>
      <c r="AD32" s="70"/>
    </row>
    <row r="33" spans="2:31" x14ac:dyDescent="0.25">
      <c r="B33" s="91" t="str">
        <f ca="1">select!F116</f>
        <v/>
      </c>
      <c r="C33" s="92"/>
      <c r="D33" s="92"/>
      <c r="E33" s="92"/>
      <c r="F33" s="92"/>
      <c r="G33" s="92"/>
      <c r="H33" s="92"/>
      <c r="I33" s="92"/>
      <c r="J33" s="92" t="str">
        <f ca="1">select!D116</f>
        <v/>
      </c>
      <c r="K33" s="92"/>
      <c r="L33" s="92"/>
      <c r="M33" s="92"/>
      <c r="N33" s="92"/>
      <c r="O33" s="92"/>
      <c r="P33" s="92"/>
      <c r="Q33" s="92"/>
      <c r="R33" s="92"/>
      <c r="S33" s="92" t="str">
        <f ca="1">select!E116</f>
        <v/>
      </c>
      <c r="T33" s="92"/>
      <c r="U33" s="92"/>
      <c r="V33" s="92"/>
      <c r="W33" s="92"/>
      <c r="X33" s="92"/>
      <c r="Y33" s="92"/>
      <c r="Z33" s="92"/>
      <c r="AA33" s="59" t="str">
        <f ca="1">select!A116</f>
        <v/>
      </c>
      <c r="AB33" s="44" t="str">
        <f ca="1">select!B116</f>
        <v/>
      </c>
      <c r="AC33" s="62" t="str">
        <f ca="1">select!C116</f>
        <v/>
      </c>
      <c r="AD33" s="71"/>
    </row>
    <row r="34" spans="2:31" x14ac:dyDescent="0.25">
      <c r="B34" s="91" t="str">
        <f ca="1">select!F117</f>
        <v/>
      </c>
      <c r="C34" s="92"/>
      <c r="D34" s="92"/>
      <c r="E34" s="92"/>
      <c r="F34" s="92"/>
      <c r="G34" s="92"/>
      <c r="H34" s="92"/>
      <c r="I34" s="92"/>
      <c r="J34" s="92" t="str">
        <f ca="1">select!D117</f>
        <v/>
      </c>
      <c r="K34" s="92"/>
      <c r="L34" s="92"/>
      <c r="M34" s="92"/>
      <c r="N34" s="92"/>
      <c r="O34" s="92"/>
      <c r="P34" s="92"/>
      <c r="Q34" s="92"/>
      <c r="R34" s="92"/>
      <c r="S34" s="92" t="str">
        <f ca="1">select!E117</f>
        <v/>
      </c>
      <c r="T34" s="92"/>
      <c r="U34" s="92"/>
      <c r="V34" s="92"/>
      <c r="W34" s="92"/>
      <c r="X34" s="92"/>
      <c r="Y34" s="92"/>
      <c r="Z34" s="92"/>
      <c r="AA34" s="59" t="str">
        <f ca="1">select!A117</f>
        <v/>
      </c>
      <c r="AB34" s="44" t="str">
        <f ca="1">select!B117</f>
        <v/>
      </c>
      <c r="AC34" s="62" t="str">
        <f ca="1">select!C117</f>
        <v/>
      </c>
      <c r="AD34" s="71"/>
    </row>
    <row r="35" spans="2:31" x14ac:dyDescent="0.25">
      <c r="B35" s="91" t="str">
        <f ca="1">select!F118</f>
        <v/>
      </c>
      <c r="C35" s="92"/>
      <c r="D35" s="92"/>
      <c r="E35" s="92"/>
      <c r="F35" s="92"/>
      <c r="G35" s="92"/>
      <c r="H35" s="92"/>
      <c r="I35" s="92"/>
      <c r="J35" s="92" t="str">
        <f ca="1">select!D118</f>
        <v/>
      </c>
      <c r="K35" s="92"/>
      <c r="L35" s="92"/>
      <c r="M35" s="92"/>
      <c r="N35" s="92"/>
      <c r="O35" s="92"/>
      <c r="P35" s="92"/>
      <c r="Q35" s="92"/>
      <c r="R35" s="92"/>
      <c r="S35" s="92" t="str">
        <f ca="1">select!E118</f>
        <v/>
      </c>
      <c r="T35" s="92"/>
      <c r="U35" s="92"/>
      <c r="V35" s="92"/>
      <c r="W35" s="92"/>
      <c r="X35" s="92"/>
      <c r="Y35" s="92"/>
      <c r="Z35" s="92"/>
      <c r="AA35" s="59" t="str">
        <f ca="1">select!A118</f>
        <v/>
      </c>
      <c r="AB35" s="44" t="str">
        <f ca="1">select!B118</f>
        <v/>
      </c>
      <c r="AC35" s="62" t="str">
        <f ca="1">select!C118</f>
        <v/>
      </c>
      <c r="AD35" s="71"/>
    </row>
    <row r="36" spans="2:31" x14ac:dyDescent="0.25">
      <c r="B36" s="93" t="str">
        <f ca="1">select!F119</f>
        <v/>
      </c>
      <c r="C36" s="94"/>
      <c r="D36" s="94"/>
      <c r="E36" s="94"/>
      <c r="F36" s="94"/>
      <c r="G36" s="94"/>
      <c r="H36" s="94"/>
      <c r="I36" s="94"/>
      <c r="J36" s="94" t="str">
        <f ca="1">select!D119</f>
        <v/>
      </c>
      <c r="K36" s="94"/>
      <c r="L36" s="94"/>
      <c r="M36" s="94"/>
      <c r="N36" s="94"/>
      <c r="O36" s="94"/>
      <c r="P36" s="94"/>
      <c r="Q36" s="94"/>
      <c r="R36" s="94"/>
      <c r="S36" s="94" t="str">
        <f ca="1">select!E119</f>
        <v/>
      </c>
      <c r="T36" s="94"/>
      <c r="U36" s="94"/>
      <c r="V36" s="94"/>
      <c r="W36" s="94"/>
      <c r="X36" s="94"/>
      <c r="Y36" s="94"/>
      <c r="Z36" s="94"/>
      <c r="AA36" s="60" t="str">
        <f ca="1">select!A119</f>
        <v/>
      </c>
      <c r="AB36" s="8" t="str">
        <f ca="1">select!B119</f>
        <v/>
      </c>
      <c r="AC36" s="63" t="str">
        <f ca="1">select!C119</f>
        <v/>
      </c>
      <c r="AD36" s="72"/>
    </row>
    <row r="38" spans="2:31" ht="24" thickBot="1" x14ac:dyDescent="0.4">
      <c r="B38" s="65" t="str">
        <f ca="1">Sprache!A24</f>
        <v>Mounting plate</v>
      </c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</row>
    <row r="40" spans="2:31" x14ac:dyDescent="0.25">
      <c r="B40" s="79" t="str">
        <f ca="1">Sprache!A44</f>
        <v>Mounting plate type</v>
      </c>
      <c r="C40" s="79"/>
      <c r="D40" s="79"/>
      <c r="E40" s="79"/>
      <c r="F40" s="79"/>
      <c r="G40" s="79"/>
      <c r="H40" s="79"/>
      <c r="I40" s="79"/>
      <c r="J40" s="76"/>
      <c r="K40" s="76"/>
      <c r="L40" s="79" t="str">
        <f ca="1">Sprache!A27</f>
        <v>Fixing</v>
      </c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</row>
    <row r="41" spans="2:31" ht="7.5" customHeight="1" x14ac:dyDescent="0.25">
      <c r="B41" s="81"/>
      <c r="C41" s="81"/>
      <c r="D41" s="81"/>
      <c r="E41" s="81"/>
      <c r="F41" s="81"/>
      <c r="G41" s="81"/>
      <c r="H41" s="81"/>
      <c r="I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4"/>
    </row>
    <row r="45" spans="2:31" x14ac:dyDescent="0.25">
      <c r="B45" s="34" t="s">
        <v>50</v>
      </c>
      <c r="Y45" s="1" t="str">
        <f ca="1">Sprache!A69</f>
        <v>Height</v>
      </c>
      <c r="AB45" s="57" t="str">
        <f ca="1">Sprache!A70</f>
        <v>Item#</v>
      </c>
    </row>
    <row r="46" spans="2:31" x14ac:dyDescent="0.25">
      <c r="B46" s="89" t="str">
        <f ca="1">select!A124</f>
        <v>TIOMOS mounting plates</v>
      </c>
      <c r="C46" s="90"/>
      <c r="D46" s="90"/>
      <c r="E46" s="90"/>
      <c r="F46" s="90"/>
      <c r="G46" s="90"/>
      <c r="H46" s="90"/>
      <c r="I46" s="90" t="str">
        <f ca="1">select!C124</f>
        <v>1D Cross mounting plate TIOMOS</v>
      </c>
      <c r="J46" s="90"/>
      <c r="K46" s="90"/>
      <c r="L46" s="90"/>
      <c r="M46" s="90"/>
      <c r="N46" s="90"/>
      <c r="O46" s="90"/>
      <c r="P46" s="90"/>
      <c r="Q46" s="90"/>
      <c r="R46" s="83" t="str">
        <f ca="1">select!F124</f>
        <v>H 35, Euro, ni /37</v>
      </c>
      <c r="S46" s="83"/>
      <c r="T46" s="83"/>
      <c r="U46" s="83"/>
      <c r="V46" s="83"/>
      <c r="W46" s="83"/>
      <c r="X46" s="83"/>
      <c r="Y46" s="86">
        <f ca="1">select!H124</f>
        <v>3.5</v>
      </c>
      <c r="Z46" s="83"/>
      <c r="AA46" s="58" t="str">
        <f ca="1">select!I124</f>
        <v>F058</v>
      </c>
      <c r="AB46" s="55" t="str">
        <f ca="1">select!J124</f>
        <v>139</v>
      </c>
      <c r="AC46" s="61" t="str">
        <f ca="1">select!K124</f>
        <v>759</v>
      </c>
      <c r="AD46" s="70"/>
    </row>
    <row r="47" spans="2:31" x14ac:dyDescent="0.25">
      <c r="B47" s="91" t="str">
        <f ca="1">select!A125</f>
        <v/>
      </c>
      <c r="C47" s="92"/>
      <c r="D47" s="92"/>
      <c r="E47" s="92"/>
      <c r="F47" s="92"/>
      <c r="G47" s="92"/>
      <c r="H47" s="92"/>
      <c r="I47" s="92" t="str">
        <f ca="1">select!C125</f>
        <v/>
      </c>
      <c r="J47" s="92"/>
      <c r="K47" s="92"/>
      <c r="L47" s="92"/>
      <c r="M47" s="92"/>
      <c r="N47" s="92"/>
      <c r="O47" s="92"/>
      <c r="P47" s="92"/>
      <c r="Q47" s="92"/>
      <c r="R47" s="84" t="str">
        <f ca="1">select!F125</f>
        <v/>
      </c>
      <c r="S47" s="84"/>
      <c r="T47" s="84"/>
      <c r="U47" s="84"/>
      <c r="V47" s="84"/>
      <c r="W47" s="84"/>
      <c r="X47" s="84"/>
      <c r="Y47" s="87" t="str">
        <f ca="1">select!H125</f>
        <v/>
      </c>
      <c r="Z47" s="84"/>
      <c r="AA47" s="59" t="str">
        <f ca="1">select!I125</f>
        <v/>
      </c>
      <c r="AB47" s="44" t="str">
        <f ca="1">select!J125</f>
        <v/>
      </c>
      <c r="AC47" s="62" t="str">
        <f ca="1">select!K125</f>
        <v/>
      </c>
      <c r="AD47" s="71"/>
    </row>
    <row r="48" spans="2:31" x14ac:dyDescent="0.25">
      <c r="B48" s="91" t="str">
        <f ca="1">select!A126</f>
        <v/>
      </c>
      <c r="C48" s="92"/>
      <c r="D48" s="92"/>
      <c r="E48" s="92"/>
      <c r="F48" s="92"/>
      <c r="G48" s="92"/>
      <c r="H48" s="92"/>
      <c r="I48" s="92" t="str">
        <f ca="1">select!C126</f>
        <v/>
      </c>
      <c r="J48" s="92"/>
      <c r="K48" s="92"/>
      <c r="L48" s="92"/>
      <c r="M48" s="92"/>
      <c r="N48" s="92"/>
      <c r="O48" s="92"/>
      <c r="P48" s="92"/>
      <c r="Q48" s="92"/>
      <c r="R48" s="84" t="str">
        <f ca="1">select!F126</f>
        <v/>
      </c>
      <c r="S48" s="84"/>
      <c r="T48" s="84"/>
      <c r="U48" s="84"/>
      <c r="V48" s="84"/>
      <c r="W48" s="84"/>
      <c r="X48" s="84"/>
      <c r="Y48" s="87" t="str">
        <f ca="1">select!H126</f>
        <v/>
      </c>
      <c r="Z48" s="84"/>
      <c r="AA48" s="59" t="str">
        <f ca="1">select!I126</f>
        <v/>
      </c>
      <c r="AB48" s="44" t="str">
        <f ca="1">select!J126</f>
        <v/>
      </c>
      <c r="AC48" s="62" t="str">
        <f ca="1">select!K126</f>
        <v/>
      </c>
      <c r="AD48" s="71"/>
    </row>
    <row r="49" spans="2:30" x14ac:dyDescent="0.25">
      <c r="B49" s="91" t="str">
        <f ca="1">select!A127</f>
        <v/>
      </c>
      <c r="C49" s="92"/>
      <c r="D49" s="92"/>
      <c r="E49" s="92"/>
      <c r="F49" s="92"/>
      <c r="G49" s="92"/>
      <c r="H49" s="92"/>
      <c r="I49" s="92" t="str">
        <f ca="1">select!C127</f>
        <v/>
      </c>
      <c r="J49" s="92"/>
      <c r="K49" s="92"/>
      <c r="L49" s="92"/>
      <c r="M49" s="92"/>
      <c r="N49" s="92"/>
      <c r="O49" s="92"/>
      <c r="P49" s="92"/>
      <c r="Q49" s="92"/>
      <c r="R49" s="84" t="str">
        <f ca="1">select!F127</f>
        <v/>
      </c>
      <c r="S49" s="84"/>
      <c r="T49" s="84"/>
      <c r="U49" s="84"/>
      <c r="V49" s="84"/>
      <c r="W49" s="84"/>
      <c r="X49" s="84"/>
      <c r="Y49" s="87" t="str">
        <f ca="1">select!H127</f>
        <v/>
      </c>
      <c r="Z49" s="84"/>
      <c r="AA49" s="59" t="str">
        <f ca="1">select!I127</f>
        <v/>
      </c>
      <c r="AB49" s="44" t="str">
        <f ca="1">select!J127</f>
        <v/>
      </c>
      <c r="AC49" s="62" t="str">
        <f ca="1">select!K127</f>
        <v/>
      </c>
      <c r="AD49" s="71"/>
    </row>
    <row r="50" spans="2:30" x14ac:dyDescent="0.25">
      <c r="B50" s="93" t="str">
        <f ca="1">select!A128</f>
        <v/>
      </c>
      <c r="C50" s="94"/>
      <c r="D50" s="94"/>
      <c r="E50" s="94"/>
      <c r="F50" s="94"/>
      <c r="G50" s="94"/>
      <c r="H50" s="94"/>
      <c r="I50" s="94" t="str">
        <f ca="1">select!C128</f>
        <v/>
      </c>
      <c r="J50" s="94"/>
      <c r="K50" s="94"/>
      <c r="L50" s="94"/>
      <c r="M50" s="94"/>
      <c r="N50" s="94"/>
      <c r="O50" s="94"/>
      <c r="P50" s="94"/>
      <c r="Q50" s="94"/>
      <c r="R50" s="85" t="str">
        <f ca="1">select!F128</f>
        <v/>
      </c>
      <c r="S50" s="85"/>
      <c r="T50" s="85"/>
      <c r="U50" s="85"/>
      <c r="V50" s="85"/>
      <c r="W50" s="85"/>
      <c r="X50" s="85"/>
      <c r="Y50" s="88" t="str">
        <f ca="1">select!H128</f>
        <v/>
      </c>
      <c r="Z50" s="85"/>
      <c r="AA50" s="60" t="str">
        <f ca="1">select!I128</f>
        <v/>
      </c>
      <c r="AB50" s="8" t="str">
        <f ca="1">select!J128</f>
        <v/>
      </c>
      <c r="AC50" s="63" t="str">
        <f ca="1">select!K128</f>
        <v/>
      </c>
      <c r="AD50" s="72"/>
    </row>
    <row r="51" spans="2:30" x14ac:dyDescent="0.25"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</row>
    <row r="52" spans="2:30" x14ac:dyDescent="0.25">
      <c r="B52" s="34" t="str">
        <f>Tabelle2[[#Headers],[28/32]]</f>
        <v>28/32</v>
      </c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Y52" s="1" t="str">
        <f ca="1">Y45</f>
        <v>Height</v>
      </c>
      <c r="AB52" s="57" t="str">
        <f ca="1">AB45</f>
        <v>Item#</v>
      </c>
    </row>
    <row r="53" spans="2:30" x14ac:dyDescent="0.25">
      <c r="B53" s="89" t="str">
        <f ca="1">select!A131</f>
        <v>No solution…</v>
      </c>
      <c r="C53" s="90"/>
      <c r="D53" s="90"/>
      <c r="E53" s="90"/>
      <c r="F53" s="90"/>
      <c r="G53" s="90"/>
      <c r="H53" s="90"/>
      <c r="I53" s="90" t="str">
        <f ca="1">select!C131</f>
        <v>change selection</v>
      </c>
      <c r="J53" s="90"/>
      <c r="K53" s="90"/>
      <c r="L53" s="90"/>
      <c r="M53" s="90"/>
      <c r="N53" s="90"/>
      <c r="O53" s="90"/>
      <c r="P53" s="90"/>
      <c r="Q53" s="90"/>
      <c r="R53" s="83" t="str">
        <f ca="1">select!F131</f>
        <v/>
      </c>
      <c r="S53" s="83"/>
      <c r="T53" s="83"/>
      <c r="U53" s="83"/>
      <c r="V53" s="83"/>
      <c r="W53" s="83"/>
      <c r="X53" s="83"/>
      <c r="Y53" s="86" t="str">
        <f ca="1">select!H131</f>
        <v/>
      </c>
      <c r="Z53" s="83"/>
      <c r="AA53" s="58" t="str">
        <f ca="1">select!I131</f>
        <v/>
      </c>
      <c r="AB53" s="55" t="str">
        <f ca="1">select!J131</f>
        <v/>
      </c>
      <c r="AC53" s="61" t="str">
        <f ca="1">select!K131</f>
        <v/>
      </c>
      <c r="AD53" s="70"/>
    </row>
    <row r="54" spans="2:30" x14ac:dyDescent="0.25">
      <c r="B54" s="91" t="str">
        <f ca="1">select!A132</f>
        <v/>
      </c>
      <c r="C54" s="92"/>
      <c r="D54" s="92"/>
      <c r="E54" s="92"/>
      <c r="F54" s="92"/>
      <c r="G54" s="92"/>
      <c r="H54" s="92"/>
      <c r="I54" s="92" t="str">
        <f ca="1">select!C132</f>
        <v/>
      </c>
      <c r="J54" s="92"/>
      <c r="K54" s="92"/>
      <c r="L54" s="92"/>
      <c r="M54" s="92"/>
      <c r="N54" s="92"/>
      <c r="O54" s="92"/>
      <c r="P54" s="92"/>
      <c r="Q54" s="92"/>
      <c r="R54" s="84" t="str">
        <f ca="1">select!F132</f>
        <v/>
      </c>
      <c r="S54" s="84"/>
      <c r="T54" s="84"/>
      <c r="U54" s="84"/>
      <c r="V54" s="84"/>
      <c r="W54" s="84"/>
      <c r="X54" s="84"/>
      <c r="Y54" s="87" t="str">
        <f ca="1">select!H132</f>
        <v/>
      </c>
      <c r="Z54" s="84"/>
      <c r="AA54" s="59" t="str">
        <f ca="1">select!I132</f>
        <v/>
      </c>
      <c r="AB54" s="44" t="str">
        <f ca="1">select!J132</f>
        <v/>
      </c>
      <c r="AC54" s="62" t="str">
        <f ca="1">select!K132</f>
        <v/>
      </c>
      <c r="AD54" s="71"/>
    </row>
    <row r="55" spans="2:30" x14ac:dyDescent="0.25">
      <c r="B55" s="91" t="str">
        <f ca="1">select!A133</f>
        <v/>
      </c>
      <c r="C55" s="92"/>
      <c r="D55" s="92"/>
      <c r="E55" s="92"/>
      <c r="F55" s="92"/>
      <c r="G55" s="92"/>
      <c r="H55" s="92"/>
      <c r="I55" s="92" t="str">
        <f ca="1">select!C133</f>
        <v/>
      </c>
      <c r="J55" s="92"/>
      <c r="K55" s="92"/>
      <c r="L55" s="92"/>
      <c r="M55" s="92"/>
      <c r="N55" s="92"/>
      <c r="O55" s="92"/>
      <c r="P55" s="92"/>
      <c r="Q55" s="92"/>
      <c r="R55" s="84" t="str">
        <f ca="1">select!F133</f>
        <v/>
      </c>
      <c r="S55" s="84"/>
      <c r="T55" s="84"/>
      <c r="U55" s="84"/>
      <c r="V55" s="84"/>
      <c r="W55" s="84"/>
      <c r="X55" s="84"/>
      <c r="Y55" s="87" t="str">
        <f ca="1">select!H133</f>
        <v/>
      </c>
      <c r="Z55" s="84"/>
      <c r="AA55" s="59" t="str">
        <f ca="1">select!I133</f>
        <v/>
      </c>
      <c r="AB55" s="44" t="str">
        <f ca="1">select!J133</f>
        <v/>
      </c>
      <c r="AC55" s="62" t="str">
        <f ca="1">select!K133</f>
        <v/>
      </c>
      <c r="AD55" s="71"/>
    </row>
    <row r="56" spans="2:30" x14ac:dyDescent="0.25">
      <c r="B56" s="91" t="str">
        <f ca="1">select!A134</f>
        <v/>
      </c>
      <c r="C56" s="92"/>
      <c r="D56" s="92"/>
      <c r="E56" s="92"/>
      <c r="F56" s="92"/>
      <c r="G56" s="92"/>
      <c r="H56" s="92"/>
      <c r="I56" s="92" t="str">
        <f ca="1">select!C134</f>
        <v/>
      </c>
      <c r="J56" s="92"/>
      <c r="K56" s="92"/>
      <c r="L56" s="92"/>
      <c r="M56" s="92"/>
      <c r="N56" s="92"/>
      <c r="O56" s="92"/>
      <c r="P56" s="92"/>
      <c r="Q56" s="92"/>
      <c r="R56" s="84" t="str">
        <f ca="1">select!F134</f>
        <v/>
      </c>
      <c r="S56" s="84"/>
      <c r="T56" s="84"/>
      <c r="U56" s="84"/>
      <c r="V56" s="84"/>
      <c r="W56" s="84"/>
      <c r="X56" s="84"/>
      <c r="Y56" s="87" t="str">
        <f ca="1">select!H134</f>
        <v/>
      </c>
      <c r="Z56" s="84"/>
      <c r="AA56" s="59" t="str">
        <f ca="1">select!I134</f>
        <v/>
      </c>
      <c r="AB56" s="44" t="str">
        <f ca="1">select!J134</f>
        <v/>
      </c>
      <c r="AC56" s="62" t="str">
        <f ca="1">select!K134</f>
        <v/>
      </c>
      <c r="AD56" s="71"/>
    </row>
    <row r="57" spans="2:30" x14ac:dyDescent="0.25">
      <c r="B57" s="93" t="str">
        <f ca="1">select!A135</f>
        <v/>
      </c>
      <c r="C57" s="94"/>
      <c r="D57" s="94"/>
      <c r="E57" s="94"/>
      <c r="F57" s="94"/>
      <c r="G57" s="94"/>
      <c r="H57" s="94"/>
      <c r="I57" s="94" t="str">
        <f ca="1">select!C135</f>
        <v/>
      </c>
      <c r="J57" s="94"/>
      <c r="K57" s="94"/>
      <c r="L57" s="94"/>
      <c r="M57" s="94"/>
      <c r="N57" s="94"/>
      <c r="O57" s="94"/>
      <c r="P57" s="94"/>
      <c r="Q57" s="94"/>
      <c r="R57" s="85" t="str">
        <f ca="1">select!F135</f>
        <v/>
      </c>
      <c r="S57" s="85"/>
      <c r="T57" s="85"/>
      <c r="U57" s="85"/>
      <c r="V57" s="85"/>
      <c r="W57" s="85"/>
      <c r="X57" s="85"/>
      <c r="Y57" s="88" t="str">
        <f ca="1">select!H135</f>
        <v/>
      </c>
      <c r="Z57" s="85"/>
      <c r="AA57" s="60" t="str">
        <f ca="1">select!I135</f>
        <v/>
      </c>
      <c r="AB57" s="8" t="str">
        <f ca="1">select!J135</f>
        <v/>
      </c>
      <c r="AC57" s="63" t="str">
        <f ca="1">select!K135</f>
        <v/>
      </c>
      <c r="AD57" s="72"/>
    </row>
    <row r="58" spans="2:30" x14ac:dyDescent="0.25">
      <c r="V58" s="56"/>
    </row>
  </sheetData>
  <sheetProtection password="D721" sheet="1" objects="1" scenarios="1"/>
  <mergeCells count="3">
    <mergeCell ref="B22:E22"/>
    <mergeCell ref="B18:E18"/>
    <mergeCell ref="B19:E21"/>
  </mergeCells>
  <pageMargins left="0.7" right="0.7" top="0.78740157499999996" bottom="0.78740157499999996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Drop Down 4">
              <controlPr defaultSize="0" autoLine="0" autoPict="0">
                <anchor moveWithCells="1">
                  <from>
                    <xdr:col>16</xdr:col>
                    <xdr:colOff>9525</xdr:colOff>
                    <xdr:row>21</xdr:row>
                    <xdr:rowOff>9525</xdr:rowOff>
                  </from>
                  <to>
                    <xdr:col>20</xdr:col>
                    <xdr:colOff>57150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Drop Down 5">
              <controlPr defaultSize="0" autoLine="0" autoPict="0">
                <anchor moveWithCells="1">
                  <from>
                    <xdr:col>24</xdr:col>
                    <xdr:colOff>57150</xdr:colOff>
                    <xdr:row>21</xdr:row>
                    <xdr:rowOff>9525</xdr:rowOff>
                  </from>
                  <to>
                    <xdr:col>28</xdr:col>
                    <xdr:colOff>19050</xdr:colOff>
                    <xdr:row>21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Drop Down 6">
              <controlPr defaultSize="0" autoLine="0" autoPict="0">
                <anchor moveWithCells="1">
                  <from>
                    <xdr:col>11</xdr:col>
                    <xdr:colOff>28575</xdr:colOff>
                    <xdr:row>41</xdr:row>
                    <xdr:rowOff>38100</xdr:rowOff>
                  </from>
                  <to>
                    <xdr:col>16</xdr:col>
                    <xdr:colOff>200025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Drop Down 7">
              <controlPr defaultSize="0" autoLine="0" autoPict="0">
                <anchor moveWithCells="1">
                  <from>
                    <xdr:col>1</xdr:col>
                    <xdr:colOff>19050</xdr:colOff>
                    <xdr:row>26</xdr:row>
                    <xdr:rowOff>19050</xdr:rowOff>
                  </from>
                  <to>
                    <xdr:col>5</xdr:col>
                    <xdr:colOff>190500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Drop Down 8">
              <controlPr defaultSize="0" autoLine="0" autoPict="0">
                <anchor moveWithCells="1">
                  <from>
                    <xdr:col>24</xdr:col>
                    <xdr:colOff>152400</xdr:colOff>
                    <xdr:row>3</xdr:row>
                    <xdr:rowOff>19050</xdr:rowOff>
                  </from>
                  <to>
                    <xdr:col>29</xdr:col>
                    <xdr:colOff>123825</xdr:colOff>
                    <xdr:row>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Drop Down 9">
              <controlPr defaultSize="0" autoLine="0" autoPict="0">
                <anchor moveWithCells="1">
                  <from>
                    <xdr:col>1</xdr:col>
                    <xdr:colOff>28575</xdr:colOff>
                    <xdr:row>41</xdr:row>
                    <xdr:rowOff>28575</xdr:rowOff>
                  </from>
                  <to>
                    <xdr:col>6</xdr:col>
                    <xdr:colOff>161925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Option Button 11">
              <controlPr defaultSize="0" autoFill="0" autoLine="0" autoPict="0">
                <anchor moveWithCells="1">
                  <from>
                    <xdr:col>1</xdr:col>
                    <xdr:colOff>19050</xdr:colOff>
                    <xdr:row>6</xdr:row>
                    <xdr:rowOff>0</xdr:rowOff>
                  </from>
                  <to>
                    <xdr:col>1</xdr:col>
                    <xdr:colOff>200025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Option Button 12">
              <controlPr defaultSize="0" autoFill="0" autoLine="0" autoPict="0">
                <anchor moveWithCells="1">
                  <from>
                    <xdr:col>17</xdr:col>
                    <xdr:colOff>9525</xdr:colOff>
                    <xdr:row>5</xdr:row>
                    <xdr:rowOff>171450</xdr:rowOff>
                  </from>
                  <to>
                    <xdr:col>18</xdr:col>
                    <xdr:colOff>28575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Option Button 13">
              <controlPr defaultSize="0" autoFill="0" autoLine="0" autoPict="0">
                <anchor moveWithCells="1">
                  <from>
                    <xdr:col>8</xdr:col>
                    <xdr:colOff>200025</xdr:colOff>
                    <xdr:row>6</xdr:row>
                    <xdr:rowOff>9525</xdr:rowOff>
                  </from>
                  <to>
                    <xdr:col>10</xdr:col>
                    <xdr:colOff>0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3" name="Option Button 14">
              <controlPr defaultSize="0" autoFill="0" autoLine="0" autoPict="0">
                <anchor moveWithCells="1">
                  <from>
                    <xdr:col>25</xdr:col>
                    <xdr:colOff>28575</xdr:colOff>
                    <xdr:row>6</xdr:row>
                    <xdr:rowOff>0</xdr:rowOff>
                  </from>
                  <to>
                    <xdr:col>26</xdr:col>
                    <xdr:colOff>47625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4" name="Spinner 24">
              <controlPr defaultSize="0" autoPict="0">
                <anchor moveWithCells="1" sizeWithCells="1">
                  <from>
                    <xdr:col>5</xdr:col>
                    <xdr:colOff>47625</xdr:colOff>
                    <xdr:row>17</xdr:row>
                    <xdr:rowOff>0</xdr:rowOff>
                  </from>
                  <to>
                    <xdr:col>6</xdr:col>
                    <xdr:colOff>66675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5" name="Drop Down 25">
              <controlPr defaultSize="0" autoLine="0" autoPict="0">
                <anchor moveWithCells="1">
                  <from>
                    <xdr:col>17</xdr:col>
                    <xdr:colOff>9525</xdr:colOff>
                    <xdr:row>41</xdr:row>
                    <xdr:rowOff>38100</xdr:rowOff>
                  </from>
                  <to>
                    <xdr:col>25</xdr:col>
                    <xdr:colOff>161925</xdr:colOff>
                    <xdr:row>42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6" name="List Box 26">
              <controlPr defaultSize="0" autoLine="0" autoPict="0">
                <anchor moveWithCells="1">
                  <from>
                    <xdr:col>25</xdr:col>
                    <xdr:colOff>95250</xdr:colOff>
                    <xdr:row>26</xdr:row>
                    <xdr:rowOff>38100</xdr:rowOff>
                  </from>
                  <to>
                    <xdr:col>30</xdr:col>
                    <xdr:colOff>104775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7" name="Drop Down 27">
              <controlPr defaultSize="0" autoLine="0" autoPict="0">
                <anchor moveWithCells="1">
                  <from>
                    <xdr:col>12</xdr:col>
                    <xdr:colOff>0</xdr:colOff>
                    <xdr:row>26</xdr:row>
                    <xdr:rowOff>9525</xdr:rowOff>
                  </from>
                  <to>
                    <xdr:col>18</xdr:col>
                    <xdr:colOff>28575</xdr:colOff>
                    <xdr:row>27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6" operator="equal" id="{1C79B302-EBC3-45F5-B804-281FAC86595C}">
            <xm:f>Sprache!$A$71</xm:f>
            <x14:dxf>
              <font>
                <color theme="0" tint="-0.34998626667073579"/>
              </font>
            </x14:dxf>
          </x14:cfRule>
          <xm:sqref>B53:F57</xm:sqref>
        </x14:conditionalFormatting>
        <x14:conditionalFormatting xmlns:xm="http://schemas.microsoft.com/office/excel/2006/main">
          <x14:cfRule type="cellIs" priority="5" operator="equal" id="{41C8705C-AA1F-4970-BDFA-E39E5FA72C08}">
            <xm:f>Sprache!$A$75</xm:f>
            <x14:dxf>
              <font>
                <color theme="0" tint="-0.24994659260841701"/>
              </font>
            </x14:dxf>
          </x14:cfRule>
          <xm:sqref>I53:I57</xm:sqref>
        </x14:conditionalFormatting>
        <x14:conditionalFormatting xmlns:xm="http://schemas.microsoft.com/office/excel/2006/main">
          <x14:cfRule type="cellIs" priority="4" operator="equal" id="{7944211C-51B9-41A7-8634-178C58B3945A}">
            <xm:f>Sprache!$A$71</xm:f>
            <x14:dxf>
              <font>
                <color theme="0" tint="-0.34998626667073579"/>
              </font>
            </x14:dxf>
          </x14:cfRule>
          <xm:sqref>B46:B50</xm:sqref>
        </x14:conditionalFormatting>
        <x14:conditionalFormatting xmlns:xm="http://schemas.microsoft.com/office/excel/2006/main">
          <x14:cfRule type="cellIs" priority="3" operator="equal" id="{E6453AF1-691D-4D31-9A0D-449B74F1F0AD}">
            <xm:f>Sprache!$A$75</xm:f>
            <x14:dxf>
              <font>
                <color theme="0" tint="-0.34998626667073579"/>
              </font>
            </x14:dxf>
          </x14:cfRule>
          <xm:sqref>I46:I50</xm:sqref>
        </x14:conditionalFormatting>
        <x14:conditionalFormatting xmlns:xm="http://schemas.microsoft.com/office/excel/2006/main">
          <x14:cfRule type="cellIs" priority="2" operator="equal" id="{D86BDBAE-CD9E-456C-AE96-8642648C9445}">
            <xm:f>Sprache!$A$71</xm:f>
            <x14:dxf>
              <font>
                <color theme="0" tint="-0.34998626667073579"/>
              </font>
            </x14:dxf>
          </x14:cfRule>
          <xm:sqref>B32</xm:sqref>
        </x14:conditionalFormatting>
        <x14:conditionalFormatting xmlns:xm="http://schemas.microsoft.com/office/excel/2006/main">
          <x14:cfRule type="cellIs" priority="1" operator="equal" id="{AA5D94DB-E20C-46F5-B524-B678D5E774A7}">
            <xm:f>Sprache!$A$75</xm:f>
            <x14:dxf>
              <font>
                <color theme="0" tint="-0.34998626667073579"/>
              </font>
            </x14:dxf>
          </x14:cfRule>
          <xm:sqref>J32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3"/>
  <dimension ref="C1:BA37"/>
  <sheetViews>
    <sheetView showRowColHeaders="0" zoomScaleNormal="100" workbookViewId="0">
      <selection activeCell="AQ42" sqref="AQ42"/>
    </sheetView>
  </sheetViews>
  <sheetFormatPr baseColWidth="10" defaultColWidth="3" defaultRowHeight="15" x14ac:dyDescent="0.25"/>
  <cols>
    <col min="4" max="4" width="2.7109375" customWidth="1"/>
  </cols>
  <sheetData>
    <row r="1" spans="3:53" ht="99.75" customHeight="1" x14ac:dyDescent="0.25"/>
    <row r="2" spans="3:53" ht="15" customHeight="1" x14ac:dyDescent="0.25"/>
    <row r="3" spans="3:53" ht="16.5" customHeight="1" x14ac:dyDescent="0.25">
      <c r="C3" s="121" t="str">
        <f ca="1">AK33</f>
        <v>Door weight</v>
      </c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G3" s="9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</row>
    <row r="4" spans="3:53" ht="15" customHeight="1" x14ac:dyDescent="0.25"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G4" s="96"/>
      <c r="AI4" s="76"/>
      <c r="AJ4" s="76"/>
      <c r="AK4" s="122" t="str">
        <f ca="1">Sprache!A19</f>
        <v>language</v>
      </c>
      <c r="AL4" s="122"/>
      <c r="AM4" s="122"/>
      <c r="AN4" s="122"/>
      <c r="AO4" s="122"/>
      <c r="AP4" s="122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</row>
    <row r="5" spans="3:53" x14ac:dyDescent="0.25">
      <c r="AG5" s="9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</row>
    <row r="6" spans="3:53" x14ac:dyDescent="0.25">
      <c r="AG6" s="96"/>
      <c r="AI6" s="76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76"/>
    </row>
    <row r="7" spans="3:53" x14ac:dyDescent="0.25">
      <c r="C7" t="str">
        <f ca="1">Sprache!A77</f>
        <v>Door height</v>
      </c>
      <c r="AG7" s="96"/>
      <c r="AI7" s="76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76"/>
    </row>
    <row r="8" spans="3:53" x14ac:dyDescent="0.25">
      <c r="C8" s="126">
        <v>2500</v>
      </c>
      <c r="D8" s="126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G8" s="96"/>
      <c r="AI8" s="76"/>
      <c r="AJ8" s="101"/>
      <c r="AK8" s="101" t="str">
        <f ca="1">Sprache!A80</f>
        <v>The number of hinges is determined by the door</v>
      </c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76"/>
    </row>
    <row r="9" spans="3:53" x14ac:dyDescent="0.25">
      <c r="C9" s="126"/>
      <c r="D9" s="126"/>
      <c r="X9" s="76"/>
      <c r="Y9" s="76"/>
      <c r="Z9" s="76"/>
      <c r="AA9" s="76"/>
      <c r="AB9" s="76"/>
      <c r="AC9" s="76"/>
      <c r="AG9" s="96"/>
      <c r="AI9" s="76"/>
      <c r="AJ9" s="101"/>
      <c r="AK9" s="101" t="str">
        <f ca="1">Sprache!A81</f>
        <v>height, door weight, quality of the material and the</v>
      </c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76"/>
    </row>
    <row r="10" spans="3:53" x14ac:dyDescent="0.25">
      <c r="X10" s="76"/>
      <c r="Y10" s="76"/>
      <c r="Z10" s="76"/>
      <c r="AA10" s="76"/>
      <c r="AB10" s="76"/>
      <c r="AC10" s="76"/>
      <c r="AG10" s="96"/>
      <c r="AI10" s="76"/>
      <c r="AJ10" s="101"/>
      <c r="AK10" s="101" t="str">
        <f ca="1">Sprache!A82</f>
        <v>fixing of the cup and mounting plate</v>
      </c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76"/>
    </row>
    <row r="11" spans="3:53" x14ac:dyDescent="0.25"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76"/>
      <c r="Y11" s="76"/>
      <c r="Z11" s="76"/>
      <c r="AA11" s="76"/>
      <c r="AB11" s="76"/>
      <c r="AC11" s="76"/>
      <c r="AG11" s="96"/>
      <c r="AI11" s="76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76"/>
    </row>
    <row r="12" spans="3:53" x14ac:dyDescent="0.25"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G12" s="96"/>
      <c r="AI12" s="76"/>
      <c r="AJ12" s="101"/>
      <c r="AK12" s="101" t="str">
        <f ca="1">Sprache!A83</f>
        <v>The load and height data refer to 600 mm stand-</v>
      </c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76"/>
    </row>
    <row r="13" spans="3:53" x14ac:dyDescent="0.25">
      <c r="C13" s="126">
        <v>2000</v>
      </c>
      <c r="D13" s="126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95"/>
      <c r="S13" s="95"/>
      <c r="T13" s="95"/>
      <c r="U13" s="95"/>
      <c r="V13" s="95"/>
      <c r="W13" s="76"/>
      <c r="X13" s="76"/>
      <c r="Y13" s="76"/>
      <c r="Z13" s="76"/>
      <c r="AA13" s="76"/>
      <c r="AB13" s="76"/>
      <c r="AC13" s="76"/>
      <c r="AG13" s="96"/>
      <c r="AI13" s="76"/>
      <c r="AJ13" s="101"/>
      <c r="AK13" s="101" t="str">
        <f ca="1">Sprache!A84</f>
        <v>ard door widths. In case of doubt, the number of</v>
      </c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76"/>
    </row>
    <row r="14" spans="3:53" x14ac:dyDescent="0.25">
      <c r="C14" s="126"/>
      <c r="D14" s="126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95"/>
      <c r="S14" s="95"/>
      <c r="T14" s="95"/>
      <c r="U14" s="95"/>
      <c r="V14" s="95"/>
      <c r="W14" s="76"/>
      <c r="X14" s="76"/>
      <c r="Y14" s="76"/>
      <c r="Z14" s="76"/>
      <c r="AA14" s="76"/>
      <c r="AB14" s="76"/>
      <c r="AC14" s="76"/>
      <c r="AG14" s="96"/>
      <c r="AI14" s="76"/>
      <c r="AJ14" s="101"/>
      <c r="AK14" s="101" t="str">
        <f ca="1">Sprache!A85</f>
        <v>hinges should be determined with a trial fitting.</v>
      </c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76"/>
    </row>
    <row r="15" spans="3:53" x14ac:dyDescent="0.25"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95"/>
      <c r="S15" s="95"/>
      <c r="T15" s="95"/>
      <c r="U15" s="95"/>
      <c r="V15" s="95"/>
      <c r="W15" s="76"/>
      <c r="X15" s="76"/>
      <c r="Y15" s="76"/>
      <c r="Z15" s="76"/>
      <c r="AA15" s="76"/>
      <c r="AB15" s="76"/>
      <c r="AC15" s="76"/>
      <c r="AG15" s="96"/>
      <c r="AI15" s="76"/>
      <c r="AJ15" s="101"/>
      <c r="AK15" s="101" t="str">
        <f ca="1">Sprache!A86</f>
        <v xml:space="preserve"> </v>
      </c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76"/>
    </row>
    <row r="16" spans="3:53" x14ac:dyDescent="0.25"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95"/>
      <c r="S16" s="95"/>
      <c r="T16" s="95"/>
      <c r="U16" s="95"/>
      <c r="V16" s="95"/>
      <c r="W16" s="76"/>
      <c r="X16" s="76"/>
      <c r="Y16" s="76"/>
      <c r="Z16" s="76"/>
      <c r="AA16" s="76"/>
      <c r="AB16" s="76"/>
      <c r="AC16" s="76"/>
      <c r="AG16" s="96"/>
      <c r="AI16" s="76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76"/>
    </row>
    <row r="17" spans="3:53" x14ac:dyDescent="0.25">
      <c r="C17" s="126">
        <v>1600</v>
      </c>
      <c r="D17" s="126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5"/>
      <c r="S17" s="95"/>
      <c r="T17" s="95"/>
      <c r="U17" s="95"/>
      <c r="V17" s="95"/>
      <c r="W17" s="76"/>
      <c r="X17" s="76"/>
      <c r="Y17" s="76"/>
      <c r="Z17" s="76"/>
      <c r="AA17" s="76"/>
      <c r="AB17" s="76"/>
      <c r="AC17" s="76"/>
      <c r="AG17" s="96"/>
      <c r="AI17" s="76"/>
      <c r="AJ17" s="101"/>
      <c r="AK17" s="102" t="str">
        <f ca="1">Sprache!A87</f>
        <v>Example:</v>
      </c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76"/>
    </row>
    <row r="18" spans="3:53" x14ac:dyDescent="0.25">
      <c r="C18" s="126"/>
      <c r="D18" s="126"/>
      <c r="L18" s="76"/>
      <c r="M18" s="76"/>
      <c r="N18" s="76"/>
      <c r="O18" s="76"/>
      <c r="P18" s="95"/>
      <c r="Q18" s="76"/>
      <c r="R18" s="95"/>
      <c r="S18" s="95"/>
      <c r="T18" s="95"/>
      <c r="U18" s="95"/>
      <c r="V18" s="95"/>
      <c r="W18" s="76"/>
      <c r="X18" s="76"/>
      <c r="Y18" s="76"/>
      <c r="Z18" s="76"/>
      <c r="AA18" s="76"/>
      <c r="AB18" s="76"/>
      <c r="AC18" s="76"/>
      <c r="AG18" s="96"/>
      <c r="AI18" s="76"/>
      <c r="AJ18" s="101"/>
      <c r="AK18" s="101" t="str">
        <f ca="1">Sprache!A88</f>
        <v>For doors measuring 2000 x 600 mm and weighing</v>
      </c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76"/>
    </row>
    <row r="19" spans="3:53" x14ac:dyDescent="0.25">
      <c r="L19" s="76"/>
      <c r="M19" s="76"/>
      <c r="N19" s="76"/>
      <c r="O19" s="95"/>
      <c r="P19" s="95"/>
      <c r="Q19" s="76"/>
      <c r="R19" s="95"/>
      <c r="S19" s="95"/>
      <c r="T19" s="95"/>
      <c r="U19" s="95"/>
      <c r="V19" s="95"/>
      <c r="W19" s="76"/>
      <c r="X19" s="76"/>
      <c r="Y19" s="76"/>
      <c r="Z19" s="76"/>
      <c r="AA19" s="76"/>
      <c r="AB19" s="76"/>
      <c r="AC19" s="76"/>
      <c r="AG19" s="96"/>
      <c r="AI19" s="76"/>
      <c r="AJ19" s="101"/>
      <c r="AK19" s="101" t="str">
        <f ca="1">Sprache!A89</f>
        <v xml:space="preserve">13 kg we recommend the installation </v>
      </c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76"/>
    </row>
    <row r="20" spans="3:53" x14ac:dyDescent="0.25">
      <c r="L20" s="76"/>
      <c r="M20" s="76"/>
      <c r="N20" s="76"/>
      <c r="O20" s="95"/>
      <c r="P20" s="95"/>
      <c r="Q20" s="76"/>
      <c r="R20" s="95"/>
      <c r="S20" s="95"/>
      <c r="T20" s="95"/>
      <c r="U20" s="95"/>
      <c r="V20" s="95"/>
      <c r="W20" s="76"/>
      <c r="X20" s="76"/>
      <c r="Y20" s="76"/>
      <c r="Z20" s="76"/>
      <c r="AA20" s="76"/>
      <c r="AB20" s="76"/>
      <c r="AC20" s="76"/>
      <c r="AG20" s="96"/>
      <c r="AI20" s="76"/>
      <c r="AJ20" s="101"/>
      <c r="AK20" s="101" t="str">
        <f ca="1">Sprache!A90</f>
        <v>of 4 hinges.</v>
      </c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76"/>
    </row>
    <row r="21" spans="3:53" x14ac:dyDescent="0.25">
      <c r="L21" s="76"/>
      <c r="M21" s="76"/>
      <c r="N21" s="76"/>
      <c r="O21" s="95"/>
      <c r="P21" s="95"/>
      <c r="Q21" s="76"/>
      <c r="R21" s="95"/>
      <c r="S21" s="95"/>
      <c r="T21" s="95"/>
      <c r="U21" s="95"/>
      <c r="V21" s="95"/>
      <c r="W21" s="76"/>
      <c r="X21" s="76"/>
      <c r="Y21" s="76"/>
      <c r="Z21" s="76"/>
      <c r="AA21" s="76"/>
      <c r="AB21" s="76"/>
      <c r="AC21" s="76"/>
      <c r="AG21" s="96"/>
      <c r="AI21" s="76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76"/>
    </row>
    <row r="22" spans="3:53" x14ac:dyDescent="0.25">
      <c r="L22" s="76"/>
      <c r="M22" s="76"/>
      <c r="N22" s="76"/>
      <c r="O22" s="95"/>
      <c r="P22" s="95"/>
      <c r="Q22" s="76"/>
      <c r="R22" s="95"/>
      <c r="S22" s="95"/>
      <c r="T22" s="95"/>
      <c r="U22" s="95"/>
      <c r="V22" s="95"/>
      <c r="W22" s="76"/>
      <c r="X22" s="76"/>
      <c r="Y22" s="76"/>
      <c r="Z22" s="76"/>
      <c r="AA22" s="76"/>
      <c r="AB22" s="76"/>
      <c r="AC22" s="76"/>
      <c r="AG22" s="96"/>
      <c r="AI22" s="76"/>
      <c r="AJ22" s="101"/>
      <c r="AK22" s="101" t="str">
        <f ca="1">Sprache!A91</f>
        <v>The table refers to hinges with and without</v>
      </c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76"/>
    </row>
    <row r="23" spans="3:53" x14ac:dyDescent="0.25">
      <c r="L23" s="76"/>
      <c r="M23" s="76"/>
      <c r="N23" s="76"/>
      <c r="O23" s="95"/>
      <c r="P23" s="95"/>
      <c r="Q23" s="76"/>
      <c r="R23" s="95"/>
      <c r="S23" s="95"/>
      <c r="T23" s="95"/>
      <c r="U23" s="95"/>
      <c r="V23" s="95"/>
      <c r="W23" s="76"/>
      <c r="X23" s="76"/>
      <c r="Y23" s="129" t="str">
        <f ca="1">Sprache!A78</f>
        <v>Door width</v>
      </c>
      <c r="Z23" s="129"/>
      <c r="AA23" s="129"/>
      <c r="AB23" s="129"/>
      <c r="AC23" s="76"/>
      <c r="AG23" s="96"/>
      <c r="AI23" s="76"/>
      <c r="AJ23" s="101"/>
      <c r="AK23" s="101" t="str">
        <f ca="1">Sprache!A92</f>
        <v>integrated damper.</v>
      </c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76"/>
    </row>
    <row r="24" spans="3:53" x14ac:dyDescent="0.25">
      <c r="C24" s="126">
        <v>900</v>
      </c>
      <c r="D24" s="126"/>
      <c r="E24" s="8"/>
      <c r="F24" s="8"/>
      <c r="G24" s="8"/>
      <c r="H24" s="8"/>
      <c r="I24" s="8"/>
      <c r="J24" s="8"/>
      <c r="K24" s="8"/>
      <c r="L24" s="76"/>
      <c r="M24" s="76"/>
      <c r="N24" s="76"/>
      <c r="O24" s="95"/>
      <c r="P24" s="95"/>
      <c r="Q24" s="76"/>
      <c r="R24" s="95"/>
      <c r="S24" s="95"/>
      <c r="T24" s="95"/>
      <c r="U24" s="95"/>
      <c r="V24" s="95"/>
      <c r="W24" s="76"/>
      <c r="X24" s="76"/>
      <c r="Y24" s="129" t="s">
        <v>980</v>
      </c>
      <c r="Z24" s="129"/>
      <c r="AA24" s="129"/>
      <c r="AB24" s="129"/>
      <c r="AC24" s="76"/>
      <c r="AG24" s="96"/>
      <c r="AI24" s="76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76"/>
    </row>
    <row r="25" spans="3:53" x14ac:dyDescent="0.25">
      <c r="C25" s="126"/>
      <c r="D25" s="126"/>
      <c r="F25" s="76"/>
      <c r="G25" s="76"/>
      <c r="H25" s="76"/>
      <c r="I25" s="76"/>
      <c r="J25" s="76"/>
      <c r="K25" s="76"/>
      <c r="L25" s="76"/>
      <c r="M25" s="76"/>
      <c r="N25" s="76"/>
      <c r="O25" s="95"/>
      <c r="P25" s="95"/>
      <c r="Q25" s="76"/>
      <c r="R25" s="95"/>
      <c r="S25" s="95"/>
      <c r="T25" s="95"/>
      <c r="U25" s="95"/>
      <c r="V25" s="95"/>
      <c r="W25" s="76"/>
      <c r="X25" s="76"/>
      <c r="Y25" s="76"/>
      <c r="Z25" s="76"/>
      <c r="AA25" s="76"/>
      <c r="AB25" s="76"/>
      <c r="AC25" s="76"/>
      <c r="AG25" s="96"/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6"/>
      <c r="AX25" s="76"/>
      <c r="AY25" s="76"/>
      <c r="AZ25" s="76"/>
      <c r="BA25" s="76"/>
    </row>
    <row r="26" spans="3:53" x14ac:dyDescent="0.25">
      <c r="F26" s="76"/>
      <c r="G26" s="76"/>
      <c r="H26" s="76"/>
      <c r="I26" s="76"/>
      <c r="J26" s="76"/>
      <c r="K26" s="76"/>
      <c r="L26" s="76"/>
      <c r="M26" s="76"/>
      <c r="N26" s="76"/>
      <c r="O26" s="95"/>
      <c r="P26" s="95"/>
      <c r="Q26" s="76"/>
      <c r="R26" s="95"/>
      <c r="S26" s="95"/>
      <c r="T26" s="95"/>
      <c r="U26" s="95"/>
      <c r="V26" s="95"/>
      <c r="W26" s="76"/>
      <c r="X26" s="76"/>
      <c r="Y26" s="76"/>
      <c r="Z26" s="76"/>
      <c r="AA26" s="76"/>
      <c r="AB26" s="76"/>
      <c r="AC26" s="76"/>
      <c r="AG26" s="96"/>
      <c r="AI26" s="76"/>
      <c r="AJ26" s="76"/>
      <c r="AK26" s="80" t="str">
        <f ca="1">Sprache!A97</f>
        <v>Material</v>
      </c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</row>
    <row r="27" spans="3:53" x14ac:dyDescent="0.25">
      <c r="F27" s="76"/>
      <c r="G27" s="76"/>
      <c r="H27" s="76"/>
      <c r="I27" s="76"/>
      <c r="J27" s="76"/>
      <c r="K27" s="76"/>
      <c r="L27" s="76"/>
      <c r="M27" s="76"/>
      <c r="N27" s="76"/>
      <c r="O27" s="95"/>
      <c r="P27" s="95"/>
      <c r="Q27" s="76"/>
      <c r="R27" s="95"/>
      <c r="S27" s="95"/>
      <c r="T27" s="95"/>
      <c r="U27" s="95"/>
      <c r="V27" s="95"/>
      <c r="W27" s="76"/>
      <c r="X27" s="76"/>
      <c r="Y27" s="76"/>
      <c r="Z27" s="76"/>
      <c r="AA27" s="76"/>
      <c r="AB27" s="76"/>
      <c r="AC27" s="76"/>
      <c r="AG27" s="9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76"/>
      <c r="AU27" s="76"/>
      <c r="AV27" s="76"/>
      <c r="AW27" s="76"/>
      <c r="AX27" s="76"/>
      <c r="AY27" s="76"/>
      <c r="AZ27" s="76"/>
      <c r="BA27" s="76"/>
    </row>
    <row r="28" spans="3:53" x14ac:dyDescent="0.25">
      <c r="F28" s="76"/>
      <c r="G28" s="76"/>
      <c r="H28" s="76"/>
      <c r="I28" s="76"/>
      <c r="J28" s="76"/>
      <c r="K28" s="76"/>
      <c r="L28" s="76"/>
      <c r="M28" s="76"/>
      <c r="N28" s="76"/>
      <c r="O28" s="95"/>
      <c r="P28" s="95"/>
      <c r="Q28" s="76"/>
      <c r="R28" s="95"/>
      <c r="S28" s="95"/>
      <c r="T28" s="95"/>
      <c r="U28" s="95"/>
      <c r="V28" s="95"/>
      <c r="W28" s="76"/>
      <c r="X28" s="76"/>
      <c r="Y28" s="76"/>
      <c r="Z28" s="76"/>
      <c r="AA28" s="76"/>
      <c r="AB28" s="76"/>
      <c r="AC28" s="76"/>
      <c r="AG28" s="96"/>
      <c r="AI28" s="76"/>
      <c r="AJ28" s="76"/>
      <c r="AK28" s="100"/>
      <c r="AL28" s="100"/>
      <c r="AM28" s="100"/>
      <c r="AN28" s="100"/>
      <c r="AO28" s="100"/>
      <c r="AP28" s="76"/>
      <c r="AQ28" s="76"/>
      <c r="AR28" s="76"/>
      <c r="AS28" s="76"/>
      <c r="AT28" s="76"/>
      <c r="AU28" s="76"/>
      <c r="AV28" s="76"/>
      <c r="AW28" s="76"/>
      <c r="AX28" s="76"/>
      <c r="AY28" s="76"/>
      <c r="AZ28" s="76"/>
      <c r="BA28" s="76"/>
    </row>
    <row r="29" spans="3:53" x14ac:dyDescent="0.25">
      <c r="F29" s="76"/>
      <c r="G29" s="76"/>
      <c r="H29" s="76"/>
      <c r="I29" s="76"/>
      <c r="J29" s="76"/>
      <c r="K29" s="76"/>
      <c r="L29" s="76"/>
      <c r="M29" s="76"/>
      <c r="N29" s="76"/>
      <c r="O29" s="95"/>
      <c r="P29" s="95"/>
      <c r="Q29" s="76"/>
      <c r="R29" s="95"/>
      <c r="S29" s="95"/>
      <c r="T29" s="95"/>
      <c r="U29" s="95"/>
      <c r="V29" s="95"/>
      <c r="W29" s="76"/>
      <c r="X29" s="76"/>
      <c r="Y29" s="76"/>
      <c r="Z29" s="76"/>
      <c r="AA29" s="76"/>
      <c r="AB29" s="76"/>
      <c r="AC29" s="76"/>
      <c r="AG29" s="96"/>
      <c r="AI29" s="76"/>
      <c r="AJ29" s="76"/>
      <c r="AK29" s="127" t="str">
        <f ca="1">Sprache!A93</f>
        <v>Width</v>
      </c>
      <c r="AL29" s="127"/>
      <c r="AM29" s="127"/>
      <c r="AN29" s="127"/>
      <c r="AO29" s="127"/>
      <c r="AP29" s="98"/>
      <c r="AQ29" s="128">
        <v>600</v>
      </c>
      <c r="AR29" s="128"/>
      <c r="AS29" s="128"/>
      <c r="AT29" s="128"/>
      <c r="AU29" s="99"/>
      <c r="AV29" s="99"/>
      <c r="AW29" s="76"/>
      <c r="AX29" s="76"/>
      <c r="AY29" s="76"/>
      <c r="AZ29" s="76"/>
      <c r="BA29" s="76"/>
    </row>
    <row r="30" spans="3:53" x14ac:dyDescent="0.25">
      <c r="F30" s="76"/>
      <c r="G30" s="76"/>
      <c r="H30" s="76"/>
      <c r="I30" s="95"/>
      <c r="J30" s="95"/>
      <c r="K30" s="95"/>
      <c r="L30" s="76"/>
      <c r="M30" s="76"/>
      <c r="N30" s="76"/>
      <c r="O30" s="95"/>
      <c r="P30" s="95"/>
      <c r="Q30" s="76"/>
      <c r="R30" s="95"/>
      <c r="S30" s="95"/>
      <c r="T30" s="95"/>
      <c r="U30" s="95"/>
      <c r="V30" s="95"/>
      <c r="W30" s="76"/>
      <c r="X30" s="76"/>
      <c r="Y30" s="76"/>
      <c r="Z30" s="76"/>
      <c r="AA30" s="76"/>
      <c r="AB30" s="76"/>
      <c r="AC30" s="76"/>
      <c r="AG30" s="96"/>
      <c r="AI30" s="76"/>
      <c r="AJ30" s="76"/>
      <c r="AK30" s="127" t="str">
        <f ca="1">Sprache!A94</f>
        <v>Height</v>
      </c>
      <c r="AL30" s="127"/>
      <c r="AM30" s="127"/>
      <c r="AN30" s="127"/>
      <c r="AO30" s="127"/>
      <c r="AP30" s="99"/>
      <c r="AQ30" s="128">
        <v>2000</v>
      </c>
      <c r="AR30" s="128"/>
      <c r="AS30" s="128"/>
      <c r="AT30" s="128"/>
      <c r="AU30" s="99"/>
      <c r="AV30" s="99"/>
      <c r="AW30" s="76"/>
      <c r="AX30" s="76"/>
      <c r="AY30" s="76"/>
      <c r="AZ30" s="76"/>
      <c r="BA30" s="76"/>
    </row>
    <row r="31" spans="3:53" x14ac:dyDescent="0.25">
      <c r="F31" s="76"/>
      <c r="G31" s="76"/>
      <c r="H31" s="76"/>
      <c r="I31" s="95"/>
      <c r="J31" s="95"/>
      <c r="K31" s="95"/>
      <c r="L31" s="76"/>
      <c r="M31" s="76"/>
      <c r="N31" s="76"/>
      <c r="O31" s="95"/>
      <c r="P31" s="95"/>
      <c r="Q31" s="76"/>
      <c r="R31" s="95"/>
      <c r="S31" s="95"/>
      <c r="T31" s="95"/>
      <c r="U31" s="95"/>
      <c r="V31" s="95"/>
      <c r="W31" s="76"/>
      <c r="X31" s="76"/>
      <c r="Y31" s="76"/>
      <c r="Z31" s="76"/>
      <c r="AA31" s="76"/>
      <c r="AB31" s="76"/>
      <c r="AC31" s="76"/>
      <c r="AG31" s="96"/>
      <c r="AI31" s="76"/>
      <c r="AJ31" s="76"/>
      <c r="AK31" s="127" t="str">
        <f ca="1">Sprache!A95</f>
        <v>Thickness</v>
      </c>
      <c r="AL31" s="127"/>
      <c r="AM31" s="127"/>
      <c r="AN31" s="127"/>
      <c r="AO31" s="127"/>
      <c r="AP31" s="99"/>
      <c r="AQ31" s="128">
        <v>16</v>
      </c>
      <c r="AR31" s="128"/>
      <c r="AS31" s="128"/>
      <c r="AT31" s="128"/>
      <c r="AU31" s="99"/>
      <c r="AV31" s="99"/>
      <c r="AW31" s="76"/>
      <c r="AX31" s="76"/>
      <c r="AY31" s="76"/>
      <c r="AZ31" s="76"/>
      <c r="BA31" s="76"/>
    </row>
    <row r="32" spans="3:53" x14ac:dyDescent="0.25">
      <c r="F32" s="76"/>
      <c r="G32" s="76"/>
      <c r="H32" s="76"/>
      <c r="I32" s="95"/>
      <c r="J32" s="95"/>
      <c r="K32" s="95"/>
      <c r="L32" s="76"/>
      <c r="M32" s="76"/>
      <c r="N32" s="76"/>
      <c r="O32" s="95"/>
      <c r="P32" s="95"/>
      <c r="Q32" s="76"/>
      <c r="R32" s="95"/>
      <c r="S32" s="95"/>
      <c r="T32" s="95"/>
      <c r="U32" s="76"/>
      <c r="V32" s="76"/>
      <c r="W32" s="76"/>
      <c r="X32" s="76"/>
      <c r="Y32" s="76"/>
      <c r="Z32" s="76"/>
      <c r="AA32" s="76"/>
      <c r="AB32" s="76"/>
      <c r="AC32" s="76"/>
      <c r="AG32" s="96"/>
      <c r="AI32" s="76"/>
      <c r="AJ32" s="76"/>
      <c r="AK32" s="76"/>
      <c r="AL32" s="76"/>
      <c r="AM32" s="76"/>
      <c r="AN32" s="76"/>
      <c r="AO32" s="76"/>
      <c r="AP32" s="76"/>
      <c r="AQ32" s="76"/>
      <c r="AR32" s="76"/>
      <c r="AS32" s="76"/>
      <c r="AT32" s="76"/>
      <c r="AU32" s="76"/>
      <c r="AV32" s="76"/>
      <c r="AW32" s="76"/>
      <c r="AX32" s="76"/>
      <c r="AY32" s="76"/>
      <c r="AZ32" s="76"/>
      <c r="BA32" s="76"/>
    </row>
    <row r="33" spans="3:53" ht="15.75" x14ac:dyDescent="0.25">
      <c r="C33" s="126" t="s">
        <v>975</v>
      </c>
      <c r="D33" s="126"/>
      <c r="E33" s="8"/>
      <c r="F33" s="76"/>
      <c r="G33" s="76"/>
      <c r="H33" s="76"/>
      <c r="I33" s="76"/>
      <c r="J33" s="76"/>
      <c r="K33" s="76"/>
      <c r="L33" s="76"/>
      <c r="M33" s="76"/>
      <c r="N33" s="76"/>
      <c r="O33" s="95"/>
      <c r="P33" s="95"/>
      <c r="Q33" s="76"/>
      <c r="R33" s="95"/>
      <c r="S33" s="95"/>
      <c r="T33" s="95"/>
      <c r="U33" s="76"/>
      <c r="V33" s="76"/>
      <c r="W33" s="76"/>
      <c r="X33" s="76"/>
      <c r="Y33" s="76"/>
      <c r="Z33" s="76"/>
      <c r="AA33" s="76"/>
      <c r="AB33" s="76"/>
      <c r="AC33" s="76"/>
      <c r="AG33" s="96"/>
      <c r="AI33" s="76"/>
      <c r="AJ33" s="76"/>
      <c r="AK33" s="80" t="str">
        <f ca="1">Sprache!A96</f>
        <v>Door weight</v>
      </c>
      <c r="AL33" s="76"/>
      <c r="AM33" s="76"/>
      <c r="AN33" s="76"/>
      <c r="AO33" s="76"/>
      <c r="AP33" s="76"/>
      <c r="AQ33" s="123">
        <f>select!L149</f>
        <v>12.48</v>
      </c>
      <c r="AR33" s="124"/>
      <c r="AS33" s="124"/>
      <c r="AT33" s="125"/>
      <c r="AU33" s="76"/>
      <c r="AV33" s="76"/>
      <c r="AW33" s="76"/>
      <c r="AX33" s="76"/>
      <c r="AY33" s="76"/>
      <c r="AZ33" s="76"/>
      <c r="BA33" s="76"/>
    </row>
    <row r="34" spans="3:53" x14ac:dyDescent="0.25">
      <c r="C34" s="126"/>
      <c r="D34" s="126"/>
      <c r="F34" s="13"/>
      <c r="H34" s="13"/>
      <c r="J34" s="13"/>
      <c r="L34" s="13"/>
      <c r="N34" s="13"/>
      <c r="O34" s="71"/>
      <c r="R34" s="13"/>
      <c r="T34" s="96"/>
      <c r="U34" s="71"/>
      <c r="X34" s="13"/>
      <c r="Z34" s="96"/>
      <c r="AA34" s="71"/>
      <c r="AD34" s="13"/>
      <c r="AG34" s="9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</row>
    <row r="35" spans="3:53" x14ac:dyDescent="0.25">
      <c r="F35" t="s">
        <v>976</v>
      </c>
      <c r="K35" s="117">
        <v>6</v>
      </c>
      <c r="L35" s="117"/>
      <c r="Q35" s="117">
        <v>10</v>
      </c>
      <c r="R35" s="117"/>
      <c r="W35" s="117">
        <v>17</v>
      </c>
      <c r="X35" s="117"/>
      <c r="AC35" s="117">
        <v>22</v>
      </c>
      <c r="AD35" s="117"/>
      <c r="AG35" s="96"/>
      <c r="AI35" s="76"/>
      <c r="AJ35" s="76"/>
      <c r="AK35" s="80" t="str">
        <f ca="1">Sprache!A98</f>
        <v>Nomber of hinges</v>
      </c>
      <c r="AL35" s="76"/>
      <c r="AM35" s="76"/>
      <c r="AN35" s="76"/>
      <c r="AO35" s="76"/>
      <c r="AP35" s="76"/>
      <c r="AQ35" s="118">
        <f>select!J162</f>
        <v>4</v>
      </c>
      <c r="AR35" s="119"/>
      <c r="AS35" s="119"/>
      <c r="AT35" s="120"/>
      <c r="AU35" s="76"/>
      <c r="AV35" s="76"/>
      <c r="AW35" s="76"/>
      <c r="AX35" s="76"/>
      <c r="AY35" s="76"/>
      <c r="AZ35" s="76"/>
      <c r="BA35" s="76"/>
    </row>
    <row r="36" spans="3:53" x14ac:dyDescent="0.25">
      <c r="F36" t="str">
        <f ca="1">Sprache!A76</f>
        <v>Door weight</v>
      </c>
      <c r="AG36" s="96"/>
      <c r="AI36" s="76"/>
      <c r="AJ36" s="76"/>
      <c r="AK36" s="76"/>
      <c r="AL36" s="76"/>
      <c r="AM36" s="76"/>
      <c r="AN36" s="76"/>
      <c r="AO36" s="76"/>
      <c r="AP36" s="76"/>
      <c r="AQ36" s="76"/>
      <c r="AR36" s="76"/>
      <c r="AS36" s="76"/>
      <c r="AT36" s="76"/>
      <c r="AU36" s="76"/>
      <c r="AV36" s="76"/>
      <c r="AW36" s="76"/>
      <c r="AX36" s="76"/>
      <c r="AY36" s="76"/>
      <c r="AZ36" s="76"/>
      <c r="BA36" s="76"/>
    </row>
    <row r="37" spans="3:53" x14ac:dyDescent="0.25">
      <c r="AG37" s="96"/>
    </row>
  </sheetData>
  <sheetProtection password="D721" sheet="1" objects="1" scenarios="1"/>
  <mergeCells count="21">
    <mergeCell ref="C3:AD4"/>
    <mergeCell ref="AK4:AP4"/>
    <mergeCell ref="AQ33:AT33"/>
    <mergeCell ref="C8:D9"/>
    <mergeCell ref="C13:D14"/>
    <mergeCell ref="C17:D18"/>
    <mergeCell ref="C24:D25"/>
    <mergeCell ref="C33:D34"/>
    <mergeCell ref="AK31:AO31"/>
    <mergeCell ref="AQ31:AT31"/>
    <mergeCell ref="Y23:AB23"/>
    <mergeCell ref="Y24:AB24"/>
    <mergeCell ref="AK29:AO29"/>
    <mergeCell ref="AQ29:AT29"/>
    <mergeCell ref="AK30:AO30"/>
    <mergeCell ref="AQ30:AT30"/>
    <mergeCell ref="Q35:R35"/>
    <mergeCell ref="W35:X35"/>
    <mergeCell ref="AC35:AD35"/>
    <mergeCell ref="K35:L35"/>
    <mergeCell ref="AQ35:AT35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9" r:id="rId3" name="Drop Down 5">
              <controlPr defaultSize="0" autoLine="0" autoPict="0">
                <anchor moveWithCells="1">
                  <from>
                    <xdr:col>39</xdr:col>
                    <xdr:colOff>171450</xdr:colOff>
                    <xdr:row>25</xdr:row>
                    <xdr:rowOff>19050</xdr:rowOff>
                  </from>
                  <to>
                    <xdr:col>47</xdr:col>
                    <xdr:colOff>180975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4" name="Spinner 15">
              <controlPr locked="0" defaultSize="0" autoPict="0">
                <anchor moveWithCells="1" sizeWithCells="1">
                  <from>
                    <xdr:col>46</xdr:col>
                    <xdr:colOff>38100</xdr:colOff>
                    <xdr:row>28</xdr:row>
                    <xdr:rowOff>0</xdr:rowOff>
                  </from>
                  <to>
                    <xdr:col>47</xdr:col>
                    <xdr:colOff>47625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5" name="Spinner 16">
              <controlPr locked="0" defaultSize="0" autoPict="0">
                <anchor moveWithCells="1" sizeWithCells="1">
                  <from>
                    <xdr:col>46</xdr:col>
                    <xdr:colOff>38100</xdr:colOff>
                    <xdr:row>29</xdr:row>
                    <xdr:rowOff>0</xdr:rowOff>
                  </from>
                  <to>
                    <xdr:col>47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6" name="Spinner 17">
              <controlPr locked="0" defaultSize="0" autoPict="0">
                <anchor moveWithCells="1" sizeWithCells="1">
                  <from>
                    <xdr:col>46</xdr:col>
                    <xdr:colOff>38100</xdr:colOff>
                    <xdr:row>30</xdr:row>
                    <xdr:rowOff>9525</xdr:rowOff>
                  </from>
                  <to>
                    <xdr:col>47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7" name="Drop Down 19">
              <controlPr defaultSize="0" autoLine="0" autoPict="0">
                <anchor moveWithCells="1">
                  <from>
                    <xdr:col>42</xdr:col>
                    <xdr:colOff>9525</xdr:colOff>
                    <xdr:row>3</xdr:row>
                    <xdr:rowOff>0</xdr:rowOff>
                  </from>
                  <to>
                    <xdr:col>48</xdr:col>
                    <xdr:colOff>123825</xdr:colOff>
                    <xdr:row>3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between" id="{F7F282AE-87D1-4E7B-8BB3-F27F15B774F9}">
            <xm:f>select!$K$144</xm:f>
            <xm:f>select!$L$144</xm:f>
            <x14:dxf>
              <font>
                <b val="0"/>
                <i val="0"/>
                <color theme="1"/>
              </font>
            </x14:dxf>
          </x14:cfRule>
          <xm:sqref>AQ30</xm:sqref>
        </x14:conditionalFormatting>
        <x14:conditionalFormatting xmlns:xm="http://schemas.microsoft.com/office/excel/2006/main">
          <x14:cfRule type="cellIs" priority="3" operator="between" id="{D28B5E92-AB0D-412D-AFCA-DFCDA6C4E545}">
            <xm:f>select!$K$145</xm:f>
            <xm:f>select!$L$145</xm:f>
            <x14:dxf>
              <font>
                <b val="0"/>
                <i val="0"/>
                <color theme="1"/>
              </font>
            </x14:dxf>
          </x14:cfRule>
          <xm:sqref>AQ31</xm:sqref>
        </x14:conditionalFormatting>
        <x14:conditionalFormatting xmlns:xm="http://schemas.microsoft.com/office/excel/2006/main">
          <x14:cfRule type="cellIs" priority="4" operator="between" id="{ADAC20ED-2382-4A2C-AEF7-9FC6593EF20A}">
            <xm:f>select!$K$143</xm:f>
            <xm:f>select!$L$143</xm:f>
            <x14:dxf>
              <font>
                <b val="0"/>
                <i val="0"/>
                <color theme="1"/>
              </font>
            </x14:dxf>
          </x14:cfRule>
          <xm:sqref>AQ29</xm:sqref>
        </x14:conditionalFormatting>
        <x14:conditionalFormatting xmlns:xm="http://schemas.microsoft.com/office/excel/2006/main">
          <x14:cfRule type="cellIs" priority="1" operator="between" id="{59164C95-64CA-47AF-93C2-5B636DF7E5B3}">
            <xm:f>select!$K$146</xm:f>
            <xm:f>select!$L$146</xm:f>
            <x14:dxf>
              <font>
                <b val="0"/>
                <i val="0"/>
                <color theme="1"/>
              </font>
            </x14:dxf>
          </x14:cfRule>
          <xm:sqref>AQ33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decimal" allowBlank="1" showErrorMessage="1" errorTitle="Nicht möglich! / Invalid value!" error="Wert überschreitet die angegebenen Grenzen oder ist nicht numerisch._x000a_Value either exceeds limits or is not numeric._x000a_" promptTitle="Bitte Werteingabe korrigieren" prompt="Bitte den Wertebereich nicht verlassen">
          <x14:formula1>
            <xm:f>select!K145</xm:f>
          </x14:formula1>
          <x14:formula2>
            <xm:f>select!L145</xm:f>
          </x14:formula2>
          <xm:sqref>AQ31:AT31</xm:sqref>
        </x14:dataValidation>
        <x14:dataValidation type="decimal" allowBlank="1" showInputMessage="1" showErrorMessage="1" errorTitle="Nicht möglich! / Invalid value!" error="Wert überschreitet die angegebenen Grenzen oder ist nicht numerisch._x000a_Value either exceeds limits or is not numeric.">
          <x14:formula1>
            <xm:f>select!K143</xm:f>
          </x14:formula1>
          <x14:formula2>
            <xm:f>select!L143</xm:f>
          </x14:formula2>
          <xm:sqref>AQ29:AT30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3:Q142"/>
  <sheetViews>
    <sheetView topLeftCell="A61" zoomScaleNormal="100" workbookViewId="0">
      <selection activeCell="D97" sqref="D97"/>
    </sheetView>
  </sheetViews>
  <sheetFormatPr baseColWidth="10" defaultRowHeight="15" x14ac:dyDescent="0.25"/>
  <cols>
    <col min="1" max="1" width="26.140625" customWidth="1"/>
    <col min="3" max="3" width="38.5703125" customWidth="1"/>
  </cols>
  <sheetData>
    <row r="3" spans="1:17" ht="15.75" thickBot="1" x14ac:dyDescent="0.3">
      <c r="B3" s="5">
        <v>2</v>
      </c>
      <c r="C3">
        <v>1</v>
      </c>
      <c r="D3">
        <v>2</v>
      </c>
      <c r="E3">
        <v>3</v>
      </c>
      <c r="F3">
        <v>4</v>
      </c>
      <c r="G3">
        <v>5</v>
      </c>
      <c r="H3">
        <v>6</v>
      </c>
      <c r="I3">
        <v>7</v>
      </c>
      <c r="J3">
        <v>8</v>
      </c>
      <c r="K3">
        <v>9</v>
      </c>
      <c r="L3">
        <v>10</v>
      </c>
      <c r="M3">
        <v>11</v>
      </c>
      <c r="N3">
        <v>12</v>
      </c>
      <c r="O3">
        <v>13</v>
      </c>
      <c r="P3">
        <v>14</v>
      </c>
      <c r="Q3">
        <v>15</v>
      </c>
    </row>
    <row r="4" spans="1:17" x14ac:dyDescent="0.25">
      <c r="A4" t="str">
        <f ca="1">OFFSET(B4,0,$B$3,1,1)</f>
        <v>German</v>
      </c>
      <c r="B4">
        <v>1</v>
      </c>
      <c r="C4" s="6" t="s">
        <v>24</v>
      </c>
      <c r="D4" t="s">
        <v>26</v>
      </c>
      <c r="E4" t="s">
        <v>1010</v>
      </c>
      <c r="F4" t="s">
        <v>1011</v>
      </c>
      <c r="G4" t="s">
        <v>1012</v>
      </c>
      <c r="H4" t="s">
        <v>1013</v>
      </c>
      <c r="I4" t="s">
        <v>1014</v>
      </c>
      <c r="J4" t="s">
        <v>1015</v>
      </c>
      <c r="K4" t="s">
        <v>1016</v>
      </c>
      <c r="L4" t="s">
        <v>1017</v>
      </c>
    </row>
    <row r="5" spans="1:17" x14ac:dyDescent="0.25">
      <c r="A5" t="str">
        <f ca="1">OFFSET(B5,0,$B$3,1,1)</f>
        <v>English</v>
      </c>
      <c r="B5">
        <v>2</v>
      </c>
      <c r="C5" s="7" t="s">
        <v>994</v>
      </c>
      <c r="D5" t="s">
        <v>1018</v>
      </c>
      <c r="E5" t="s">
        <v>1019</v>
      </c>
      <c r="F5" t="s">
        <v>1020</v>
      </c>
      <c r="G5" t="s">
        <v>1021</v>
      </c>
      <c r="H5" t="s">
        <v>1022</v>
      </c>
      <c r="I5" t="s">
        <v>1023</v>
      </c>
      <c r="J5" t="s">
        <v>1024</v>
      </c>
      <c r="K5" t="s">
        <v>1025</v>
      </c>
      <c r="L5" t="s">
        <v>1026</v>
      </c>
    </row>
    <row r="6" spans="1:17" x14ac:dyDescent="0.25">
      <c r="A6" t="str">
        <f t="shared" ref="A6:A76" ca="1" si="0">OFFSET(B6,0,$B$3,1,1)</f>
        <v>Swedish</v>
      </c>
      <c r="B6">
        <v>3</v>
      </c>
      <c r="C6" s="7" t="s">
        <v>995</v>
      </c>
      <c r="D6" t="s">
        <v>1027</v>
      </c>
      <c r="E6" t="s">
        <v>1028</v>
      </c>
      <c r="F6" t="s">
        <v>1029</v>
      </c>
      <c r="G6" t="s">
        <v>1030</v>
      </c>
      <c r="H6" t="s">
        <v>1031</v>
      </c>
      <c r="I6" t="s">
        <v>1031</v>
      </c>
      <c r="J6" t="s">
        <v>1032</v>
      </c>
      <c r="K6" t="s">
        <v>1033</v>
      </c>
      <c r="L6" t="s">
        <v>1034</v>
      </c>
    </row>
    <row r="7" spans="1:17" x14ac:dyDescent="0.25">
      <c r="A7" t="str">
        <f t="shared" ca="1" si="0"/>
        <v>Italian</v>
      </c>
      <c r="B7">
        <v>4</v>
      </c>
      <c r="C7" s="7" t="s">
        <v>996</v>
      </c>
      <c r="D7" t="s">
        <v>1035</v>
      </c>
      <c r="E7" t="s">
        <v>1036</v>
      </c>
      <c r="F7" t="s">
        <v>1037</v>
      </c>
      <c r="G7" t="s">
        <v>1038</v>
      </c>
      <c r="H7" t="s">
        <v>1037</v>
      </c>
      <c r="I7" t="s">
        <v>1037</v>
      </c>
      <c r="J7" t="s">
        <v>1039</v>
      </c>
      <c r="K7" t="s">
        <v>1040</v>
      </c>
      <c r="L7" t="s">
        <v>1041</v>
      </c>
    </row>
    <row r="8" spans="1:17" x14ac:dyDescent="0.25">
      <c r="A8" t="str">
        <f t="shared" ca="1" si="0"/>
        <v>French</v>
      </c>
      <c r="B8">
        <v>5</v>
      </c>
      <c r="C8" s="7" t="s">
        <v>1042</v>
      </c>
      <c r="D8" t="s">
        <v>1043</v>
      </c>
      <c r="E8" t="s">
        <v>1044</v>
      </c>
      <c r="F8" t="s">
        <v>1045</v>
      </c>
      <c r="G8" t="s">
        <v>1046</v>
      </c>
      <c r="H8" t="s">
        <v>1047</v>
      </c>
      <c r="I8" t="s">
        <v>1048</v>
      </c>
      <c r="J8" t="s">
        <v>1049</v>
      </c>
      <c r="K8" t="s">
        <v>1050</v>
      </c>
      <c r="L8" t="s">
        <v>1051</v>
      </c>
    </row>
    <row r="9" spans="1:17" x14ac:dyDescent="0.25">
      <c r="A9" t="str">
        <f t="shared" ca="1" si="0"/>
        <v>Spanish</v>
      </c>
      <c r="B9">
        <v>6</v>
      </c>
      <c r="C9" s="7" t="s">
        <v>997</v>
      </c>
      <c r="D9" t="s">
        <v>1052</v>
      </c>
      <c r="E9" t="s">
        <v>1053</v>
      </c>
      <c r="F9" t="s">
        <v>1054</v>
      </c>
      <c r="G9" t="s">
        <v>1055</v>
      </c>
      <c r="H9" t="s">
        <v>1056</v>
      </c>
      <c r="I9" t="s">
        <v>1057</v>
      </c>
      <c r="J9" t="s">
        <v>1058</v>
      </c>
      <c r="K9" t="s">
        <v>1059</v>
      </c>
      <c r="L9" t="s">
        <v>1060</v>
      </c>
    </row>
    <row r="10" spans="1:17" x14ac:dyDescent="0.25">
      <c r="A10" t="str">
        <f t="shared" ca="1" si="0"/>
        <v>Portuguese</v>
      </c>
      <c r="B10">
        <v>7</v>
      </c>
      <c r="C10" s="7" t="s">
        <v>998</v>
      </c>
      <c r="D10" t="s">
        <v>1061</v>
      </c>
      <c r="E10" t="s">
        <v>1062</v>
      </c>
      <c r="F10" t="s">
        <v>1063</v>
      </c>
      <c r="G10" t="s">
        <v>1064</v>
      </c>
      <c r="H10" t="s">
        <v>1065</v>
      </c>
      <c r="I10" t="s">
        <v>1066</v>
      </c>
      <c r="J10" t="s">
        <v>1067</v>
      </c>
      <c r="K10" t="s">
        <v>1068</v>
      </c>
      <c r="L10" t="s">
        <v>1069</v>
      </c>
    </row>
    <row r="11" spans="1:17" x14ac:dyDescent="0.25">
      <c r="A11" t="str">
        <f t="shared" ca="1" si="0"/>
        <v>Turkish</v>
      </c>
      <c r="B11">
        <v>8</v>
      </c>
      <c r="C11" s="7" t="s">
        <v>999</v>
      </c>
      <c r="D11" t="s">
        <v>1070</v>
      </c>
      <c r="E11" t="s">
        <v>1071</v>
      </c>
      <c r="F11" t="s">
        <v>1072</v>
      </c>
      <c r="G11" t="s">
        <v>1073</v>
      </c>
      <c r="H11" t="s">
        <v>1072</v>
      </c>
      <c r="I11" t="s">
        <v>1072</v>
      </c>
      <c r="J11" t="s">
        <v>1074</v>
      </c>
      <c r="K11" t="s">
        <v>1075</v>
      </c>
      <c r="L11" t="s">
        <v>1076</v>
      </c>
    </row>
    <row r="12" spans="1:17" x14ac:dyDescent="0.25">
      <c r="A12" t="str">
        <f t="shared" ca="1" si="0"/>
        <v>Chinese</v>
      </c>
      <c r="B12">
        <v>9</v>
      </c>
      <c r="C12" s="7" t="s">
        <v>1077</v>
      </c>
      <c r="D12" t="s">
        <v>1078</v>
      </c>
      <c r="E12" t="s">
        <v>1079</v>
      </c>
      <c r="F12" t="s">
        <v>1080</v>
      </c>
      <c r="G12" t="s">
        <v>1081</v>
      </c>
      <c r="H12" t="s">
        <v>1082</v>
      </c>
      <c r="I12" t="s">
        <v>1083</v>
      </c>
      <c r="J12" t="s">
        <v>1084</v>
      </c>
      <c r="K12" t="s">
        <v>1000</v>
      </c>
      <c r="L12" t="s">
        <v>1085</v>
      </c>
    </row>
    <row r="13" spans="1:17" x14ac:dyDescent="0.25">
      <c r="A13" t="str">
        <f t="shared" ca="1" si="0"/>
        <v>Russian</v>
      </c>
      <c r="B13">
        <v>10</v>
      </c>
      <c r="C13" s="7" t="s">
        <v>1001</v>
      </c>
      <c r="D13" t="s">
        <v>1086</v>
      </c>
      <c r="E13" t="s">
        <v>1087</v>
      </c>
      <c r="F13" t="s">
        <v>1088</v>
      </c>
      <c r="G13" t="s">
        <v>1089</v>
      </c>
      <c r="H13" t="s">
        <v>1090</v>
      </c>
      <c r="I13" t="s">
        <v>1088</v>
      </c>
      <c r="J13" t="s">
        <v>1091</v>
      </c>
      <c r="K13" t="s">
        <v>1092</v>
      </c>
      <c r="L13" t="s">
        <v>1093</v>
      </c>
    </row>
    <row r="14" spans="1:17" x14ac:dyDescent="0.25">
      <c r="A14">
        <f t="shared" ca="1" si="0"/>
        <v>0</v>
      </c>
      <c r="B14">
        <v>11</v>
      </c>
      <c r="C14" s="7" t="s">
        <v>930</v>
      </c>
    </row>
    <row r="15" spans="1:17" x14ac:dyDescent="0.25">
      <c r="A15">
        <f t="shared" ca="1" si="0"/>
        <v>0</v>
      </c>
      <c r="B15">
        <v>12</v>
      </c>
      <c r="C15" s="7" t="s">
        <v>931</v>
      </c>
    </row>
    <row r="16" spans="1:17" x14ac:dyDescent="0.25">
      <c r="A16">
        <f t="shared" ca="1" si="0"/>
        <v>0</v>
      </c>
      <c r="B16">
        <v>13</v>
      </c>
      <c r="C16" s="7" t="s">
        <v>932</v>
      </c>
    </row>
    <row r="17" spans="1:12" x14ac:dyDescent="0.25">
      <c r="A17">
        <f t="shared" ca="1" si="0"/>
        <v>0</v>
      </c>
      <c r="B17">
        <v>14</v>
      </c>
      <c r="C17" s="7" t="s">
        <v>933</v>
      </c>
    </row>
    <row r="18" spans="1:12" x14ac:dyDescent="0.25">
      <c r="A18">
        <f t="shared" ca="1" si="0"/>
        <v>0</v>
      </c>
      <c r="B18">
        <v>15</v>
      </c>
      <c r="C18" s="7" t="s">
        <v>934</v>
      </c>
    </row>
    <row r="19" spans="1:12" s="2" customFormat="1" x14ac:dyDescent="0.25">
      <c r="A19" s="2" t="str">
        <f t="shared" ca="1" si="0"/>
        <v>language</v>
      </c>
      <c r="B19" s="2">
        <v>16</v>
      </c>
      <c r="C19" s="2" t="s">
        <v>25</v>
      </c>
      <c r="D19" s="2" t="s">
        <v>1002</v>
      </c>
      <c r="E19" s="2" t="s">
        <v>1003</v>
      </c>
      <c r="F19" s="2" t="s">
        <v>1004</v>
      </c>
      <c r="G19" s="2" t="s">
        <v>1005</v>
      </c>
      <c r="H19" s="2" t="s">
        <v>1006</v>
      </c>
      <c r="I19" s="2" t="s">
        <v>1006</v>
      </c>
      <c r="J19" s="2" t="s">
        <v>1007</v>
      </c>
      <c r="K19" s="2" t="s">
        <v>1008</v>
      </c>
      <c r="L19" s="2" t="s">
        <v>1009</v>
      </c>
    </row>
    <row r="20" spans="1:12" s="2" customFormat="1" x14ac:dyDescent="0.25">
      <c r="A20" s="2" t="str">
        <f t="shared" ca="1" si="0"/>
        <v>Hinge</v>
      </c>
      <c r="B20" s="2">
        <v>17</v>
      </c>
      <c r="C20" s="2" t="s">
        <v>36</v>
      </c>
      <c r="D20" s="2" t="s">
        <v>1480</v>
      </c>
    </row>
    <row r="21" spans="1:12" s="2" customFormat="1" x14ac:dyDescent="0.25">
      <c r="A21" s="2" t="str">
        <f t="shared" ca="1" si="0"/>
        <v>Drilling pattern</v>
      </c>
      <c r="B21" s="2">
        <v>18</v>
      </c>
      <c r="C21" s="2" t="s">
        <v>2</v>
      </c>
      <c r="D21" s="2" t="s">
        <v>1481</v>
      </c>
    </row>
    <row r="22" spans="1:12" s="2" customFormat="1" x14ac:dyDescent="0.25">
      <c r="A22" s="2" t="str">
        <f t="shared" ca="1" si="0"/>
        <v>Overlay</v>
      </c>
      <c r="B22" s="2">
        <v>19</v>
      </c>
      <c r="C22" s="2" t="s">
        <v>0</v>
      </c>
      <c r="D22" s="2" t="s">
        <v>1482</v>
      </c>
    </row>
    <row r="23" spans="1:12" s="2" customFormat="1" x14ac:dyDescent="0.25">
      <c r="A23" s="2" t="str">
        <f t="shared" ca="1" si="0"/>
        <v>Cup distance</v>
      </c>
      <c r="B23" s="2">
        <v>20</v>
      </c>
      <c r="C23" s="2" t="s">
        <v>1</v>
      </c>
      <c r="D23" s="2" t="s">
        <v>1483</v>
      </c>
    </row>
    <row r="24" spans="1:12" s="2" customFormat="1" x14ac:dyDescent="0.25">
      <c r="A24" s="2" t="str">
        <f t="shared" ca="1" si="0"/>
        <v>Mounting plate</v>
      </c>
      <c r="B24" s="2">
        <v>21</v>
      </c>
      <c r="C24" s="2" t="s">
        <v>27</v>
      </c>
      <c r="D24" s="2" t="s">
        <v>1484</v>
      </c>
    </row>
    <row r="25" spans="1:12" s="2" customFormat="1" x14ac:dyDescent="0.25">
      <c r="A25" s="2" t="str">
        <f t="shared" ca="1" si="0"/>
        <v>Mounting plate fixing</v>
      </c>
      <c r="B25" s="2">
        <v>22</v>
      </c>
      <c r="C25" s="2" t="s">
        <v>28</v>
      </c>
      <c r="D25" s="2" t="s">
        <v>1485</v>
      </c>
    </row>
    <row r="26" spans="1:12" s="22" customFormat="1" x14ac:dyDescent="0.25">
      <c r="A26" s="22" t="str">
        <f t="shared" ca="1" si="0"/>
        <v>Hinge type</v>
      </c>
      <c r="B26" s="2">
        <v>23</v>
      </c>
      <c r="C26" s="22" t="s">
        <v>20</v>
      </c>
      <c r="D26" s="22" t="s">
        <v>1487</v>
      </c>
    </row>
    <row r="27" spans="1:12" s="24" customFormat="1" x14ac:dyDescent="0.25">
      <c r="A27" s="22" t="str">
        <f t="shared" ca="1" si="0"/>
        <v>Fixing</v>
      </c>
      <c r="B27" s="2">
        <v>24</v>
      </c>
      <c r="C27" s="24" t="s">
        <v>974</v>
      </c>
      <c r="D27" s="24" t="s">
        <v>1488</v>
      </c>
    </row>
    <row r="28" spans="1:12" s="24" customFormat="1" x14ac:dyDescent="0.25">
      <c r="A28" s="75" t="str">
        <f t="shared" ca="1" si="0"/>
        <v>Click-on screw</v>
      </c>
      <c r="B28" s="2">
        <v>25</v>
      </c>
      <c r="C28" s="24" t="s">
        <v>969</v>
      </c>
      <c r="D28" s="24" t="s">
        <v>1489</v>
      </c>
    </row>
    <row r="29" spans="1:12" s="24" customFormat="1" x14ac:dyDescent="0.25">
      <c r="A29" s="24" t="str">
        <f t="shared" ca="1" si="0"/>
        <v>Click-on press in</v>
      </c>
      <c r="B29" s="2">
        <v>26</v>
      </c>
      <c r="C29" s="24" t="s">
        <v>968</v>
      </c>
      <c r="D29" s="24" t="s">
        <v>1490</v>
      </c>
    </row>
    <row r="30" spans="1:12" s="24" customFormat="1" x14ac:dyDescent="0.25">
      <c r="A30" s="22" t="str">
        <f t="shared" ca="1" si="0"/>
        <v>Impresso</v>
      </c>
      <c r="B30" s="2">
        <v>27</v>
      </c>
      <c r="C30" s="24" t="s">
        <v>967</v>
      </c>
      <c r="D30" s="24" t="s">
        <v>967</v>
      </c>
    </row>
    <row r="31" spans="1:12" s="75" customFormat="1" x14ac:dyDescent="0.25">
      <c r="A31" s="75" t="str">
        <f t="shared" ca="1" si="0"/>
        <v>Screw on version</v>
      </c>
      <c r="B31" s="2">
        <v>28</v>
      </c>
      <c r="C31" s="75" t="s">
        <v>17</v>
      </c>
      <c r="D31" s="75" t="s">
        <v>1491</v>
      </c>
    </row>
    <row r="32" spans="1:12" s="2" customFormat="1" x14ac:dyDescent="0.25">
      <c r="A32" s="2" t="str">
        <f t="shared" ca="1" si="0"/>
        <v>Pres in version</v>
      </c>
      <c r="B32" s="2">
        <v>29</v>
      </c>
      <c r="C32" s="2" t="s">
        <v>18</v>
      </c>
      <c r="D32" s="2" t="s">
        <v>1492</v>
      </c>
    </row>
    <row r="33" spans="1:4" s="2" customFormat="1" x14ac:dyDescent="0.25">
      <c r="A33" s="2" t="str">
        <f t="shared" ca="1" si="0"/>
        <v>Dowel version</v>
      </c>
      <c r="B33" s="2">
        <v>30</v>
      </c>
      <c r="C33" s="2" t="s">
        <v>19</v>
      </c>
      <c r="D33" s="2" t="s">
        <v>1493</v>
      </c>
    </row>
    <row r="34" spans="1:4" s="2" customFormat="1" x14ac:dyDescent="0.25">
      <c r="A34" s="2" t="str">
        <f t="shared" ca="1" si="0"/>
        <v>Screw on (wood screws)</v>
      </c>
      <c r="B34" s="2">
        <v>31</v>
      </c>
      <c r="C34" s="2" t="s">
        <v>778</v>
      </c>
      <c r="D34" s="2" t="s">
        <v>1494</v>
      </c>
    </row>
    <row r="35" spans="1:4" s="2" customFormat="1" x14ac:dyDescent="0.25">
      <c r="A35" s="2" t="str">
        <f t="shared" ca="1" si="0"/>
        <v>Screw on (Euro screws)</v>
      </c>
      <c r="B35" s="2">
        <v>32</v>
      </c>
      <c r="C35" s="2" t="s">
        <v>779</v>
      </c>
      <c r="D35" s="2" t="s">
        <v>1495</v>
      </c>
    </row>
    <row r="36" spans="1:4" s="2" customFormat="1" x14ac:dyDescent="0.25">
      <c r="A36" s="2" t="str">
        <f t="shared" ca="1" si="0"/>
        <v>press in</v>
      </c>
      <c r="B36" s="2">
        <v>33</v>
      </c>
      <c r="C36" s="2" t="s">
        <v>777</v>
      </c>
      <c r="D36" s="2" t="s">
        <v>1496</v>
      </c>
    </row>
    <row r="37" spans="1:4" s="2" customFormat="1" x14ac:dyDescent="0.25">
      <c r="A37" s="2" t="str">
        <f t="shared" ca="1" si="0"/>
        <v>prem. Euro [13,5]</v>
      </c>
      <c r="B37" s="2">
        <v>34</v>
      </c>
      <c r="C37" s="2" t="s">
        <v>780</v>
      </c>
      <c r="D37" s="2" t="s">
        <v>1497</v>
      </c>
    </row>
    <row r="38" spans="1:4" s="2" customFormat="1" x14ac:dyDescent="0.25">
      <c r="A38" s="2" t="str">
        <f t="shared" ca="1" si="0"/>
        <v>prem. Euro [10,5]</v>
      </c>
      <c r="B38" s="2">
        <v>35</v>
      </c>
      <c r="C38" s="2" t="s">
        <v>781</v>
      </c>
      <c r="D38" s="2" t="s">
        <v>1498</v>
      </c>
    </row>
    <row r="39" spans="1:4" s="2" customFormat="1" x14ac:dyDescent="0.25">
      <c r="A39" s="2" t="str">
        <f t="shared" ca="1" si="0"/>
        <v>with soft close</v>
      </c>
      <c r="B39" s="2">
        <v>36</v>
      </c>
      <c r="C39" s="2" t="s">
        <v>21</v>
      </c>
      <c r="D39" s="2" t="s">
        <v>1499</v>
      </c>
    </row>
    <row r="40" spans="1:4" s="2" customFormat="1" x14ac:dyDescent="0.25">
      <c r="A40" s="2" t="str">
        <f t="shared" ca="1" si="0"/>
        <v>w/o soft close</v>
      </c>
      <c r="B40" s="2">
        <v>37</v>
      </c>
      <c r="C40" s="2" t="s">
        <v>22</v>
      </c>
      <c r="D40" s="2" t="s">
        <v>1500</v>
      </c>
    </row>
    <row r="41" spans="1:4" s="2" customFormat="1" x14ac:dyDescent="0.25">
      <c r="A41" s="2" t="str">
        <f t="shared" ca="1" si="0"/>
        <v>Tipmatic</v>
      </c>
      <c r="B41" s="2">
        <v>38</v>
      </c>
      <c r="C41" s="2" t="s">
        <v>23</v>
      </c>
      <c r="D41" s="2" t="s">
        <v>23</v>
      </c>
    </row>
    <row r="42" spans="1:4" s="2" customFormat="1" x14ac:dyDescent="0.25">
      <c r="A42" s="2" t="str">
        <f t="shared" ca="1" si="0"/>
        <v>Cross mounting plate</v>
      </c>
      <c r="B42" s="2">
        <v>39</v>
      </c>
      <c r="C42" s="2" t="s">
        <v>6</v>
      </c>
      <c r="D42" s="2" t="s">
        <v>1501</v>
      </c>
    </row>
    <row r="43" spans="1:4" s="2" customFormat="1" x14ac:dyDescent="0.25">
      <c r="A43" s="2" t="str">
        <f t="shared" ca="1" si="0"/>
        <v>Linear mounting plate</v>
      </c>
      <c r="B43" s="2">
        <v>40</v>
      </c>
      <c r="C43" s="2" t="s">
        <v>7</v>
      </c>
      <c r="D43" s="2" t="s">
        <v>1502</v>
      </c>
    </row>
    <row r="44" spans="1:4" s="25" customFormat="1" ht="15.75" thickBot="1" x14ac:dyDescent="0.3">
      <c r="A44" s="25" t="str">
        <f t="shared" ca="1" si="0"/>
        <v>Mounting plate type</v>
      </c>
      <c r="B44" s="2">
        <v>41</v>
      </c>
      <c r="C44" s="25" t="s">
        <v>37</v>
      </c>
      <c r="D44" s="25" t="s">
        <v>1503</v>
      </c>
    </row>
    <row r="45" spans="1:4" s="30" customFormat="1" x14ac:dyDescent="0.25">
      <c r="A45" s="29" t="str">
        <f t="shared" ca="1" si="0"/>
        <v>1D Cross mounting plate TIOMOS</v>
      </c>
      <c r="B45" s="2">
        <v>42</v>
      </c>
      <c r="C45" s="31" t="s">
        <v>815</v>
      </c>
      <c r="D45" s="30" t="s">
        <v>1504</v>
      </c>
    </row>
    <row r="46" spans="1:4" s="30" customFormat="1" x14ac:dyDescent="0.25">
      <c r="A46" s="29" t="str">
        <f t="shared" ca="1" si="0"/>
        <v>ECO Cross mounting plate TIOMOS</v>
      </c>
      <c r="B46" s="2">
        <v>43</v>
      </c>
      <c r="C46" s="31" t="s">
        <v>783</v>
      </c>
      <c r="D46" s="30" t="s">
        <v>1505</v>
      </c>
    </row>
    <row r="47" spans="1:4" s="30" customFormat="1" x14ac:dyDescent="0.25">
      <c r="A47" s="29" t="str">
        <f t="shared" ca="1" si="0"/>
        <v>1D linear mounting plate TIOMOS</v>
      </c>
      <c r="B47" s="2">
        <v>44</v>
      </c>
      <c r="C47" s="31" t="s">
        <v>903</v>
      </c>
      <c r="D47" s="30" t="s">
        <v>1506</v>
      </c>
    </row>
    <row r="48" spans="1:4" s="30" customFormat="1" x14ac:dyDescent="0.25">
      <c r="A48" s="29" t="str">
        <f t="shared" ca="1" si="0"/>
        <v>Linear distance plate TIOMOS</v>
      </c>
      <c r="B48" s="2">
        <v>45</v>
      </c>
      <c r="C48" s="31" t="s">
        <v>924</v>
      </c>
      <c r="D48" s="30" t="s">
        <v>1507</v>
      </c>
    </row>
    <row r="49" spans="1:4" s="30" customFormat="1" x14ac:dyDescent="0.25">
      <c r="A49" s="29" t="str">
        <f t="shared" ca="1" si="0"/>
        <v>TIOMOS mounting plates</v>
      </c>
      <c r="B49" s="2">
        <v>46</v>
      </c>
      <c r="C49" s="31" t="s">
        <v>785</v>
      </c>
      <c r="D49" s="30" t="s">
        <v>1508</v>
      </c>
    </row>
    <row r="50" spans="1:4" s="30" customFormat="1" x14ac:dyDescent="0.25">
      <c r="A50" s="29" t="str">
        <f t="shared" ca="1" si="0"/>
        <v>prem. Euro screws</v>
      </c>
      <c r="B50" s="2">
        <v>47</v>
      </c>
      <c r="C50" s="31" t="s">
        <v>935</v>
      </c>
      <c r="D50" s="30" t="s">
        <v>1509</v>
      </c>
    </row>
    <row r="51" spans="1:4" s="32" customFormat="1" ht="15.75" thickBot="1" x14ac:dyDescent="0.3">
      <c r="A51" s="32" t="str">
        <f t="shared" ca="1" si="0"/>
        <v>prem. short Euro screws</v>
      </c>
      <c r="B51" s="2">
        <v>48</v>
      </c>
      <c r="C51" s="32" t="s">
        <v>936</v>
      </c>
      <c r="D51" s="30" t="s">
        <v>1510</v>
      </c>
    </row>
    <row r="52" spans="1:4" x14ac:dyDescent="0.25">
      <c r="A52" s="22" t="str">
        <f t="shared" ca="1" si="0"/>
        <v>hinge T Click on 110°</v>
      </c>
      <c r="B52" s="2">
        <v>49</v>
      </c>
      <c r="C52" s="24" t="s">
        <v>629</v>
      </c>
      <c r="D52" s="30" t="s">
        <v>1511</v>
      </c>
    </row>
    <row r="53" spans="1:4" x14ac:dyDescent="0.25">
      <c r="A53" s="22" t="str">
        <f t="shared" ca="1" si="0"/>
        <v>TIOMOS hinge T-Click-on</v>
      </c>
      <c r="B53" s="2">
        <v>50</v>
      </c>
      <c r="C53" s="24" t="s">
        <v>478</v>
      </c>
      <c r="D53" s="30" t="s">
        <v>1512</v>
      </c>
    </row>
    <row r="54" spans="1:4" x14ac:dyDescent="0.25">
      <c r="A54" s="22" t="str">
        <f t="shared" ca="1" si="0"/>
        <v>TIOMOS hinge T-Impresso</v>
      </c>
      <c r="B54" s="2">
        <v>51</v>
      </c>
      <c r="C54" s="31" t="s">
        <v>162</v>
      </c>
      <c r="D54" s="30" t="s">
        <v>1513</v>
      </c>
    </row>
    <row r="55" spans="1:4" x14ac:dyDescent="0.25">
      <c r="A55" s="22" t="str">
        <f t="shared" ca="1" si="0"/>
        <v>TIOMOS hinge TS-Click-on</v>
      </c>
      <c r="B55" s="2">
        <v>52</v>
      </c>
      <c r="C55" s="31" t="s">
        <v>253</v>
      </c>
      <c r="D55" s="30" t="s">
        <v>1514</v>
      </c>
    </row>
    <row r="56" spans="1:4" x14ac:dyDescent="0.25">
      <c r="A56" s="22" t="str">
        <f t="shared" ca="1" si="0"/>
        <v>TIOMOS hinge TS-Impresso</v>
      </c>
      <c r="B56" s="2">
        <v>53</v>
      </c>
      <c r="C56" s="31" t="s">
        <v>71</v>
      </c>
      <c r="D56" s="30" t="s">
        <v>1515</v>
      </c>
    </row>
    <row r="57" spans="1:4" x14ac:dyDescent="0.25">
      <c r="A57" s="22" t="str">
        <f t="shared" ca="1" si="0"/>
        <v>TIOMOS hinge TT-Click-on</v>
      </c>
      <c r="B57" s="2">
        <v>54</v>
      </c>
      <c r="C57" s="31" t="s">
        <v>631</v>
      </c>
      <c r="D57" s="30" t="s">
        <v>1516</v>
      </c>
    </row>
    <row r="58" spans="1:4" x14ac:dyDescent="0.25">
      <c r="A58" s="22" t="str">
        <f t="shared" ca="1" si="0"/>
        <v>TIOMOS hinge TT-Impresso</v>
      </c>
      <c r="B58" s="2">
        <v>55</v>
      </c>
      <c r="C58" s="31" t="s">
        <v>207</v>
      </c>
      <c r="D58" s="30" t="s">
        <v>1517</v>
      </c>
    </row>
    <row r="59" spans="1:4" x14ac:dyDescent="0.25">
      <c r="A59" s="22" t="str">
        <f t="shared" ca="1" si="0"/>
        <v>Dowel</v>
      </c>
      <c r="B59" s="2">
        <v>56</v>
      </c>
      <c r="C59" s="31" t="s">
        <v>937</v>
      </c>
      <c r="D59" s="30" t="s">
        <v>1518</v>
      </c>
    </row>
    <row r="60" spans="1:4" x14ac:dyDescent="0.25">
      <c r="A60" s="22" t="str">
        <f t="shared" ca="1" si="0"/>
        <v>Spread dowel</v>
      </c>
      <c r="B60" s="2">
        <v>57</v>
      </c>
      <c r="C60" s="31" t="s">
        <v>938</v>
      </c>
      <c r="D60" s="30" t="s">
        <v>1519</v>
      </c>
    </row>
    <row r="61" spans="1:4" x14ac:dyDescent="0.25">
      <c r="A61" s="22" t="str">
        <f t="shared" ca="1" si="0"/>
        <v>Multilock</v>
      </c>
      <c r="B61" s="2">
        <v>58</v>
      </c>
      <c r="C61" s="31" t="s">
        <v>939</v>
      </c>
      <c r="D61" s="31" t="s">
        <v>939</v>
      </c>
    </row>
    <row r="62" spans="1:4" x14ac:dyDescent="0.25">
      <c r="A62" s="22" t="str">
        <f t="shared" ca="1" si="0"/>
        <v>TIOMOS Impresso hinges</v>
      </c>
      <c r="B62" s="2">
        <v>59</v>
      </c>
      <c r="C62" s="31" t="s">
        <v>73</v>
      </c>
      <c r="D62" s="31" t="s">
        <v>1520</v>
      </c>
    </row>
    <row r="63" spans="1:4" s="8" customFormat="1" x14ac:dyDescent="0.25">
      <c r="A63" s="22" t="str">
        <f t="shared" ca="1" si="0"/>
        <v>TIOMOS Click-on hinges</v>
      </c>
      <c r="B63" s="2">
        <v>60</v>
      </c>
      <c r="C63" s="29" t="s">
        <v>255</v>
      </c>
      <c r="D63" s="8" t="s">
        <v>1521</v>
      </c>
    </row>
    <row r="64" spans="1:4" x14ac:dyDescent="0.25">
      <c r="A64" s="22" t="str">
        <f t="shared" ca="1" si="0"/>
        <v>all</v>
      </c>
      <c r="B64" s="2">
        <v>61</v>
      </c>
      <c r="C64" s="31" t="s">
        <v>955</v>
      </c>
      <c r="D64" s="31" t="s">
        <v>1522</v>
      </c>
    </row>
    <row r="65" spans="1:4" x14ac:dyDescent="0.25">
      <c r="A65" s="22" t="str">
        <f t="shared" ca="1" si="0"/>
        <v>full overlay [K0]</v>
      </c>
      <c r="B65" s="2">
        <v>62</v>
      </c>
      <c r="C65" s="31" t="s">
        <v>1472</v>
      </c>
      <c r="D65" s="31" t="s">
        <v>1523</v>
      </c>
    </row>
    <row r="66" spans="1:4" x14ac:dyDescent="0.25">
      <c r="A66" s="22" t="str">
        <f t="shared" ca="1" si="0"/>
        <v>overlay [K3]</v>
      </c>
      <c r="B66" s="2">
        <v>63</v>
      </c>
      <c r="C66" s="31" t="s">
        <v>1473</v>
      </c>
      <c r="D66" s="31" t="s">
        <v>1524</v>
      </c>
    </row>
    <row r="67" spans="1:4" x14ac:dyDescent="0.25">
      <c r="A67" s="22" t="str">
        <f t="shared" ca="1" si="0"/>
        <v>half overlay [K9.5]</v>
      </c>
      <c r="B67" s="2">
        <v>64</v>
      </c>
      <c r="C67" s="31" t="s">
        <v>1474</v>
      </c>
      <c r="D67" s="31" t="s">
        <v>1525</v>
      </c>
    </row>
    <row r="68" spans="1:4" s="8" customFormat="1" x14ac:dyDescent="0.25">
      <c r="A68" s="22" t="str">
        <f t="shared" ca="1" si="0"/>
        <v>inset [19]</v>
      </c>
      <c r="B68" s="2">
        <v>65</v>
      </c>
      <c r="C68" s="29" t="s">
        <v>1475</v>
      </c>
      <c r="D68" s="31" t="s">
        <v>1526</v>
      </c>
    </row>
    <row r="69" spans="1:4" x14ac:dyDescent="0.25">
      <c r="A69" s="22" t="str">
        <f t="shared" ca="1" si="0"/>
        <v>Height</v>
      </c>
      <c r="B69" s="2">
        <v>66</v>
      </c>
      <c r="C69" s="31" t="s">
        <v>52</v>
      </c>
      <c r="D69" s="31" t="s">
        <v>1527</v>
      </c>
    </row>
    <row r="70" spans="1:4" x14ac:dyDescent="0.25">
      <c r="A70" s="22" t="str">
        <f t="shared" ca="1" si="0"/>
        <v>Item#</v>
      </c>
      <c r="B70" s="2">
        <v>67</v>
      </c>
      <c r="C70" s="31" t="s">
        <v>42</v>
      </c>
      <c r="D70" s="31" t="s">
        <v>1528</v>
      </c>
    </row>
    <row r="71" spans="1:4" x14ac:dyDescent="0.25">
      <c r="A71" s="22" t="str">
        <f t="shared" ca="1" si="0"/>
        <v>No solution…</v>
      </c>
      <c r="B71" s="2">
        <v>68</v>
      </c>
      <c r="C71" s="31" t="s">
        <v>964</v>
      </c>
      <c r="D71" s="31" t="s">
        <v>1529</v>
      </c>
    </row>
    <row r="72" spans="1:4" x14ac:dyDescent="0.25">
      <c r="A72" s="22" t="str">
        <f t="shared" ca="1" si="0"/>
        <v>Please change selection on the right</v>
      </c>
      <c r="B72" s="2">
        <v>69</v>
      </c>
      <c r="C72" s="31" t="s">
        <v>1477</v>
      </c>
      <c r="D72" s="31" t="s">
        <v>1530</v>
      </c>
    </row>
    <row r="73" spans="1:4" x14ac:dyDescent="0.25">
      <c r="A73" s="22" t="str">
        <f t="shared" ca="1" si="0"/>
        <v>Try</v>
      </c>
      <c r="B73" s="2">
        <v>70</v>
      </c>
      <c r="C73" s="31" t="s">
        <v>1479</v>
      </c>
      <c r="D73" s="31" t="s">
        <v>1531</v>
      </c>
    </row>
    <row r="74" spans="1:4" x14ac:dyDescent="0.25">
      <c r="A74" s="22" t="str">
        <f t="shared" ca="1" si="0"/>
        <v>or</v>
      </c>
      <c r="B74" s="2">
        <v>71</v>
      </c>
      <c r="C74" s="31" t="s">
        <v>1478</v>
      </c>
      <c r="D74" s="31" t="s">
        <v>1532</v>
      </c>
    </row>
    <row r="75" spans="1:4" s="8" customFormat="1" x14ac:dyDescent="0.25">
      <c r="A75" s="22" t="str">
        <f t="shared" ca="1" si="0"/>
        <v>change selection</v>
      </c>
      <c r="B75" s="2">
        <v>72</v>
      </c>
      <c r="C75" s="29" t="s">
        <v>963</v>
      </c>
      <c r="D75" s="8" t="s">
        <v>1533</v>
      </c>
    </row>
    <row r="76" spans="1:4" x14ac:dyDescent="0.25">
      <c r="A76" s="22" t="str">
        <f t="shared" ca="1" si="0"/>
        <v>Door weight</v>
      </c>
      <c r="B76" s="2">
        <v>73</v>
      </c>
      <c r="C76" s="31" t="s">
        <v>977</v>
      </c>
      <c r="D76" s="31" t="s">
        <v>1535</v>
      </c>
    </row>
    <row r="77" spans="1:4" x14ac:dyDescent="0.25">
      <c r="A77" s="22" t="str">
        <f t="shared" ref="A77:A142" ca="1" si="1">OFFSET(B77,0,$B$3,1,1)</f>
        <v>Door height</v>
      </c>
      <c r="B77" s="2">
        <v>74</v>
      </c>
      <c r="C77" s="31" t="s">
        <v>978</v>
      </c>
      <c r="D77" s="31" t="s">
        <v>1534</v>
      </c>
    </row>
    <row r="78" spans="1:4" x14ac:dyDescent="0.25">
      <c r="A78" s="22" t="str">
        <f t="shared" ca="1" si="1"/>
        <v>Door width</v>
      </c>
      <c r="B78" s="2">
        <v>75</v>
      </c>
      <c r="C78" s="31" t="s">
        <v>979</v>
      </c>
      <c r="D78" s="31" t="s">
        <v>1536</v>
      </c>
    </row>
    <row r="79" spans="1:4" x14ac:dyDescent="0.25">
      <c r="A79" s="22" t="str">
        <f t="shared" ca="1" si="1"/>
        <v>hinge</v>
      </c>
      <c r="B79" s="2">
        <v>76</v>
      </c>
      <c r="C79" s="31" t="s">
        <v>36</v>
      </c>
      <c r="D79" s="31" t="s">
        <v>1486</v>
      </c>
    </row>
    <row r="80" spans="1:4" x14ac:dyDescent="0.25">
      <c r="A80" s="22" t="str">
        <f t="shared" ca="1" si="1"/>
        <v>The number of hinges is determined by the door</v>
      </c>
      <c r="B80" s="2">
        <v>77</v>
      </c>
      <c r="C80" s="31" t="s">
        <v>981</v>
      </c>
      <c r="D80" t="s">
        <v>1537</v>
      </c>
    </row>
    <row r="81" spans="1:4" x14ac:dyDescent="0.25">
      <c r="A81" s="22" t="str">
        <f t="shared" ca="1" si="1"/>
        <v>height, door weight, quality of the material and the</v>
      </c>
      <c r="B81" s="2">
        <v>78</v>
      </c>
      <c r="C81" s="31" t="s">
        <v>982</v>
      </c>
      <c r="D81" t="s">
        <v>1538</v>
      </c>
    </row>
    <row r="82" spans="1:4" x14ac:dyDescent="0.25">
      <c r="A82" s="22" t="str">
        <f t="shared" ca="1" si="1"/>
        <v>fixing of the cup and mounting plate</v>
      </c>
      <c r="B82" s="2">
        <v>79</v>
      </c>
      <c r="C82" s="31" t="s">
        <v>983</v>
      </c>
      <c r="D82" t="s">
        <v>1539</v>
      </c>
    </row>
    <row r="83" spans="1:4" x14ac:dyDescent="0.25">
      <c r="A83" s="22" t="str">
        <f t="shared" ca="1" si="1"/>
        <v>The load and height data refer to 600 mm stand-</v>
      </c>
      <c r="B83" s="2">
        <v>80</v>
      </c>
      <c r="C83" s="31" t="s">
        <v>984</v>
      </c>
      <c r="D83" t="s">
        <v>1541</v>
      </c>
    </row>
    <row r="84" spans="1:4" x14ac:dyDescent="0.25">
      <c r="A84" s="22" t="str">
        <f t="shared" ca="1" si="1"/>
        <v>ard door widths. In case of doubt, the number of</v>
      </c>
      <c r="B84" s="2">
        <v>81</v>
      </c>
      <c r="C84" s="31" t="s">
        <v>985</v>
      </c>
      <c r="D84" t="s">
        <v>1540</v>
      </c>
    </row>
    <row r="85" spans="1:4" x14ac:dyDescent="0.25">
      <c r="A85" s="22" t="str">
        <f t="shared" ca="1" si="1"/>
        <v>hinges should be determined with a trial fitting.</v>
      </c>
      <c r="B85" s="2">
        <v>82</v>
      </c>
      <c r="C85" s="31" t="s">
        <v>986</v>
      </c>
      <c r="D85" t="s">
        <v>1542</v>
      </c>
    </row>
    <row r="86" spans="1:4" x14ac:dyDescent="0.25">
      <c r="A86" s="22" t="str">
        <f t="shared" ca="1" si="1"/>
        <v xml:space="preserve"> </v>
      </c>
      <c r="B86" s="2">
        <v>83</v>
      </c>
      <c r="C86" s="31" t="s">
        <v>987</v>
      </c>
      <c r="D86" t="s">
        <v>1552</v>
      </c>
    </row>
    <row r="87" spans="1:4" x14ac:dyDescent="0.25">
      <c r="A87" s="22" t="str">
        <f t="shared" ca="1" si="1"/>
        <v>Example:</v>
      </c>
      <c r="B87" s="2">
        <v>84</v>
      </c>
      <c r="C87" s="31" t="s">
        <v>988</v>
      </c>
      <c r="D87" t="s">
        <v>1543</v>
      </c>
    </row>
    <row r="88" spans="1:4" x14ac:dyDescent="0.25">
      <c r="A88" s="22" t="str">
        <f t="shared" ca="1" si="1"/>
        <v>For doors measuring 2000 x 600 mm and weighing</v>
      </c>
      <c r="B88" s="2">
        <v>85</v>
      </c>
      <c r="C88" s="31" t="s">
        <v>989</v>
      </c>
      <c r="D88" t="s">
        <v>1544</v>
      </c>
    </row>
    <row r="89" spans="1:4" x14ac:dyDescent="0.25">
      <c r="A89" s="22" t="str">
        <f t="shared" ca="1" si="1"/>
        <v xml:space="preserve">13 kg we recommend the installation </v>
      </c>
      <c r="B89" s="2">
        <v>86</v>
      </c>
      <c r="C89" s="31" t="s">
        <v>990</v>
      </c>
      <c r="D89" t="s">
        <v>1545</v>
      </c>
    </row>
    <row r="90" spans="1:4" x14ac:dyDescent="0.25">
      <c r="A90" s="22" t="str">
        <f t="shared" ca="1" si="1"/>
        <v>of 4 hinges.</v>
      </c>
      <c r="B90" s="2">
        <v>87</v>
      </c>
      <c r="C90" s="31" t="s">
        <v>991</v>
      </c>
      <c r="D90" t="s">
        <v>1546</v>
      </c>
    </row>
    <row r="91" spans="1:4" x14ac:dyDescent="0.25">
      <c r="A91" s="22" t="str">
        <f t="shared" ca="1" si="1"/>
        <v>The table refers to hinges with and without</v>
      </c>
      <c r="B91" s="2">
        <v>88</v>
      </c>
      <c r="C91" s="31" t="s">
        <v>992</v>
      </c>
      <c r="D91" t="s">
        <v>1547</v>
      </c>
    </row>
    <row r="92" spans="1:4" s="8" customFormat="1" x14ac:dyDescent="0.25">
      <c r="A92" s="22" t="str">
        <f t="shared" ca="1" si="1"/>
        <v>integrated damper.</v>
      </c>
      <c r="B92" s="2">
        <v>89</v>
      </c>
      <c r="C92" s="29" t="s">
        <v>993</v>
      </c>
      <c r="D92" s="8" t="s">
        <v>1548</v>
      </c>
    </row>
    <row r="93" spans="1:4" s="44" customFormat="1" x14ac:dyDescent="0.25">
      <c r="A93" s="22" t="str">
        <f t="shared" ca="1" si="1"/>
        <v>Width</v>
      </c>
      <c r="B93" s="2">
        <v>90</v>
      </c>
      <c r="C93" s="31" t="s">
        <v>1460</v>
      </c>
      <c r="D93" s="10" t="s">
        <v>1549</v>
      </c>
    </row>
    <row r="94" spans="1:4" s="44" customFormat="1" x14ac:dyDescent="0.25">
      <c r="A94" s="22" t="str">
        <f t="shared" ca="1" si="1"/>
        <v>Height</v>
      </c>
      <c r="B94" s="2">
        <v>91</v>
      </c>
      <c r="C94" s="31" t="s">
        <v>52</v>
      </c>
      <c r="D94" s="10" t="s">
        <v>1527</v>
      </c>
    </row>
    <row r="95" spans="1:4" s="44" customFormat="1" x14ac:dyDescent="0.25">
      <c r="A95" s="22" t="str">
        <f t="shared" ca="1" si="1"/>
        <v>Thickness</v>
      </c>
      <c r="B95" s="2">
        <v>92</v>
      </c>
      <c r="C95" s="31" t="s">
        <v>1461</v>
      </c>
      <c r="D95" s="10" t="s">
        <v>1550</v>
      </c>
    </row>
    <row r="96" spans="1:4" s="44" customFormat="1" x14ac:dyDescent="0.25">
      <c r="A96" s="22" t="str">
        <f t="shared" ca="1" si="1"/>
        <v>Door weight</v>
      </c>
      <c r="B96" s="2">
        <v>93</v>
      </c>
      <c r="C96" s="31" t="s">
        <v>977</v>
      </c>
      <c r="D96" s="10" t="s">
        <v>1535</v>
      </c>
    </row>
    <row r="97" spans="1:12" s="44" customFormat="1" x14ac:dyDescent="0.25">
      <c r="A97" s="22" t="str">
        <f t="shared" ca="1" si="1"/>
        <v>Material</v>
      </c>
      <c r="B97" s="2">
        <v>94</v>
      </c>
      <c r="C97" s="31" t="s">
        <v>1459</v>
      </c>
      <c r="D97" s="10" t="s">
        <v>1459</v>
      </c>
    </row>
    <row r="98" spans="1:12" s="44" customFormat="1" x14ac:dyDescent="0.25">
      <c r="A98" s="22" t="str">
        <f t="shared" ca="1" si="1"/>
        <v>Nomber of hinges</v>
      </c>
      <c r="B98" s="2">
        <v>95</v>
      </c>
      <c r="C98" s="31" t="s">
        <v>1467</v>
      </c>
      <c r="D98" s="10" t="s">
        <v>1551</v>
      </c>
    </row>
    <row r="99" spans="1:12" x14ac:dyDescent="0.25">
      <c r="A99" s="22" t="str">
        <f t="shared" ca="1" si="1"/>
        <v>MDF material</v>
      </c>
      <c r="B99" s="2">
        <v>96</v>
      </c>
      <c r="C99" t="s">
        <v>1094</v>
      </c>
      <c r="D99" t="s">
        <v>1095</v>
      </c>
      <c r="E99" t="s">
        <v>1095</v>
      </c>
      <c r="F99" t="s">
        <v>1096</v>
      </c>
      <c r="G99" t="s">
        <v>1097</v>
      </c>
      <c r="H99" t="s">
        <v>1098</v>
      </c>
      <c r="I99" t="s">
        <v>1098</v>
      </c>
      <c r="J99" t="s">
        <v>1099</v>
      </c>
      <c r="K99" t="s">
        <v>1100</v>
      </c>
      <c r="L99" t="s">
        <v>1101</v>
      </c>
    </row>
    <row r="100" spans="1:12" x14ac:dyDescent="0.25">
      <c r="A100" s="22" t="str">
        <f t="shared" ca="1" si="1"/>
        <v>Chipboard</v>
      </c>
      <c r="B100" s="2">
        <v>97</v>
      </c>
      <c r="C100" t="s">
        <v>1102</v>
      </c>
      <c r="D100" t="s">
        <v>1103</v>
      </c>
      <c r="E100" t="s">
        <v>1104</v>
      </c>
      <c r="F100" t="s">
        <v>1105</v>
      </c>
      <c r="G100" t="s">
        <v>1106</v>
      </c>
      <c r="H100" t="s">
        <v>1107</v>
      </c>
      <c r="I100" t="s">
        <v>1108</v>
      </c>
      <c r="J100" t="s">
        <v>1109</v>
      </c>
      <c r="K100" t="s">
        <v>1110</v>
      </c>
      <c r="L100" t="s">
        <v>1111</v>
      </c>
    </row>
    <row r="101" spans="1:12" x14ac:dyDescent="0.25">
      <c r="A101" s="22" t="str">
        <f t="shared" ca="1" si="1"/>
        <v>Spruce / Pine</v>
      </c>
      <c r="B101" s="2">
        <v>98</v>
      </c>
      <c r="C101" t="s">
        <v>1112</v>
      </c>
      <c r="D101" t="s">
        <v>1113</v>
      </c>
      <c r="E101" t="s">
        <v>1114</v>
      </c>
      <c r="F101" t="s">
        <v>1115</v>
      </c>
      <c r="G101" t="s">
        <v>1116</v>
      </c>
      <c r="H101" t="s">
        <v>1117</v>
      </c>
      <c r="I101" t="s">
        <v>1118</v>
      </c>
      <c r="J101" t="s">
        <v>1119</v>
      </c>
      <c r="K101" t="s">
        <v>1120</v>
      </c>
      <c r="L101" t="s">
        <v>1121</v>
      </c>
    </row>
    <row r="102" spans="1:12" x14ac:dyDescent="0.25">
      <c r="A102" s="22" t="str">
        <f t="shared" ca="1" si="1"/>
        <v>Glass</v>
      </c>
      <c r="B102" s="2">
        <v>99</v>
      </c>
      <c r="C102" t="s">
        <v>1122</v>
      </c>
      <c r="D102" t="s">
        <v>1123</v>
      </c>
      <c r="E102" t="s">
        <v>1124</v>
      </c>
      <c r="F102" t="s">
        <v>1125</v>
      </c>
      <c r="G102" t="s">
        <v>1126</v>
      </c>
      <c r="H102" t="s">
        <v>1127</v>
      </c>
      <c r="I102" t="s">
        <v>1128</v>
      </c>
      <c r="J102" t="s">
        <v>1129</v>
      </c>
      <c r="K102" t="s">
        <v>1130</v>
      </c>
      <c r="L102" t="s">
        <v>1131</v>
      </c>
    </row>
    <row r="103" spans="1:12" x14ac:dyDescent="0.25">
      <c r="A103" s="22" t="str">
        <f t="shared" ca="1" si="1"/>
        <v>-----------------</v>
      </c>
      <c r="B103" s="2">
        <v>100</v>
      </c>
      <c r="C103" t="s">
        <v>1132</v>
      </c>
      <c r="D103" t="s">
        <v>1132</v>
      </c>
      <c r="E103" t="s">
        <v>1132</v>
      </c>
      <c r="F103" t="s">
        <v>1132</v>
      </c>
      <c r="G103" t="s">
        <v>1132</v>
      </c>
      <c r="H103" t="s">
        <v>1132</v>
      </c>
      <c r="I103" t="s">
        <v>1132</v>
      </c>
      <c r="L103" t="s">
        <v>1132</v>
      </c>
    </row>
    <row r="104" spans="1:12" x14ac:dyDescent="0.25">
      <c r="A104" s="22" t="str">
        <f t="shared" ca="1" si="1"/>
        <v>Afromosia</v>
      </c>
      <c r="B104" s="2">
        <v>101</v>
      </c>
      <c r="C104" t="s">
        <v>1133</v>
      </c>
      <c r="D104" t="s">
        <v>1134</v>
      </c>
      <c r="E104" t="s">
        <v>1134</v>
      </c>
      <c r="F104" t="s">
        <v>1134</v>
      </c>
      <c r="G104" t="s">
        <v>1133</v>
      </c>
      <c r="H104" t="s">
        <v>1133</v>
      </c>
      <c r="I104" t="s">
        <v>1134</v>
      </c>
      <c r="K104" t="s">
        <v>1135</v>
      </c>
      <c r="L104" t="s">
        <v>1136</v>
      </c>
    </row>
    <row r="105" spans="1:12" x14ac:dyDescent="0.25">
      <c r="A105" s="22" t="str">
        <f t="shared" ca="1" si="1"/>
        <v>Maple</v>
      </c>
      <c r="B105" s="2">
        <v>102</v>
      </c>
      <c r="C105" t="s">
        <v>1137</v>
      </c>
      <c r="D105" t="s">
        <v>1138</v>
      </c>
      <c r="E105" t="s">
        <v>1139</v>
      </c>
      <c r="F105" t="s">
        <v>1140</v>
      </c>
      <c r="G105" t="s">
        <v>1141</v>
      </c>
      <c r="H105" t="s">
        <v>1142</v>
      </c>
      <c r="I105" t="s">
        <v>1143</v>
      </c>
      <c r="J105" t="s">
        <v>1144</v>
      </c>
      <c r="K105" t="s">
        <v>1145</v>
      </c>
      <c r="L105" t="s">
        <v>1146</v>
      </c>
    </row>
    <row r="106" spans="1:12" x14ac:dyDescent="0.25">
      <c r="A106" s="22" t="str">
        <f t="shared" ca="1" si="1"/>
        <v>Basswood</v>
      </c>
      <c r="B106" s="2">
        <v>103</v>
      </c>
      <c r="C106" t="s">
        <v>1147</v>
      </c>
      <c r="D106" t="s">
        <v>1148</v>
      </c>
      <c r="E106" t="s">
        <v>1149</v>
      </c>
      <c r="F106" t="s">
        <v>1150</v>
      </c>
      <c r="G106" t="s">
        <v>1151</v>
      </c>
      <c r="H106" t="s">
        <v>1152</v>
      </c>
      <c r="I106" t="s">
        <v>1153</v>
      </c>
      <c r="J106" t="s">
        <v>1154</v>
      </c>
      <c r="K106" t="s">
        <v>1155</v>
      </c>
      <c r="L106" t="s">
        <v>1156</v>
      </c>
    </row>
    <row r="107" spans="1:12" x14ac:dyDescent="0.25">
      <c r="A107" s="22" t="str">
        <f t="shared" ca="1" si="1"/>
        <v>Apple</v>
      </c>
      <c r="B107" s="2">
        <v>104</v>
      </c>
      <c r="C107" t="s">
        <v>1157</v>
      </c>
      <c r="D107" t="s">
        <v>1158</v>
      </c>
      <c r="E107" t="s">
        <v>1159</v>
      </c>
      <c r="F107" t="s">
        <v>1160</v>
      </c>
      <c r="G107" t="s">
        <v>1161</v>
      </c>
      <c r="H107" t="s">
        <v>1162</v>
      </c>
      <c r="I107" t="s">
        <v>1163</v>
      </c>
      <c r="J107" t="s">
        <v>1164</v>
      </c>
      <c r="K107" t="s">
        <v>1165</v>
      </c>
      <c r="L107" t="s">
        <v>1166</v>
      </c>
    </row>
    <row r="108" spans="1:12" x14ac:dyDescent="0.25">
      <c r="A108" s="22" t="str">
        <f t="shared" ca="1" si="1"/>
        <v>Balsa</v>
      </c>
      <c r="B108" s="2">
        <v>105</v>
      </c>
      <c r="C108" t="s">
        <v>1167</v>
      </c>
      <c r="D108" t="s">
        <v>1167</v>
      </c>
      <c r="E108" t="s">
        <v>1168</v>
      </c>
      <c r="F108" t="s">
        <v>1167</v>
      </c>
      <c r="G108" t="s">
        <v>1167</v>
      </c>
      <c r="H108" t="s">
        <v>1167</v>
      </c>
      <c r="I108" t="s">
        <v>1167</v>
      </c>
      <c r="K108" t="s">
        <v>1169</v>
      </c>
      <c r="L108" t="s">
        <v>1170</v>
      </c>
    </row>
    <row r="109" spans="1:12" x14ac:dyDescent="0.25">
      <c r="A109" s="22" t="str">
        <f t="shared" ca="1" si="1"/>
        <v>Bamboo</v>
      </c>
      <c r="B109" s="2">
        <v>106</v>
      </c>
      <c r="C109" t="s">
        <v>1171</v>
      </c>
      <c r="D109" t="s">
        <v>1172</v>
      </c>
      <c r="E109" t="s">
        <v>1173</v>
      </c>
      <c r="F109" t="s">
        <v>1174</v>
      </c>
      <c r="G109" t="s">
        <v>1175</v>
      </c>
      <c r="H109" t="s">
        <v>1176</v>
      </c>
      <c r="I109" t="s">
        <v>1173</v>
      </c>
      <c r="J109" t="s">
        <v>1177</v>
      </c>
      <c r="K109" t="s">
        <v>1178</v>
      </c>
      <c r="L109" t="s">
        <v>1179</v>
      </c>
    </row>
    <row r="110" spans="1:12" x14ac:dyDescent="0.25">
      <c r="A110" s="22" t="str">
        <f t="shared" ca="1" si="1"/>
        <v>Birch</v>
      </c>
      <c r="B110" s="2">
        <v>107</v>
      </c>
      <c r="C110" t="s">
        <v>1180</v>
      </c>
      <c r="D110" t="s">
        <v>1181</v>
      </c>
      <c r="E110" t="s">
        <v>1182</v>
      </c>
      <c r="F110" t="s">
        <v>1183</v>
      </c>
      <c r="G110" t="s">
        <v>1184</v>
      </c>
      <c r="H110" t="s">
        <v>1185</v>
      </c>
      <c r="I110" t="s">
        <v>1186</v>
      </c>
      <c r="J110" t="s">
        <v>1187</v>
      </c>
      <c r="K110" t="s">
        <v>1188</v>
      </c>
      <c r="L110" t="s">
        <v>1189</v>
      </c>
    </row>
    <row r="111" spans="1:12" x14ac:dyDescent="0.25">
      <c r="A111" s="22" t="str">
        <f t="shared" ca="1" si="1"/>
        <v>Pear</v>
      </c>
      <c r="B111" s="2">
        <v>108</v>
      </c>
      <c r="C111" t="s">
        <v>1190</v>
      </c>
      <c r="D111" t="s">
        <v>1191</v>
      </c>
      <c r="E111" t="s">
        <v>1192</v>
      </c>
      <c r="F111" t="s">
        <v>1193</v>
      </c>
      <c r="G111" t="s">
        <v>1194</v>
      </c>
      <c r="H111" t="s">
        <v>1195</v>
      </c>
      <c r="I111" t="s">
        <v>1196</v>
      </c>
      <c r="J111" t="s">
        <v>1197</v>
      </c>
      <c r="K111" t="s">
        <v>1198</v>
      </c>
      <c r="L111" t="s">
        <v>1199</v>
      </c>
    </row>
    <row r="112" spans="1:12" x14ac:dyDescent="0.25">
      <c r="A112" s="22" t="str">
        <f t="shared" ca="1" si="1"/>
        <v>Beech</v>
      </c>
      <c r="B112" s="2">
        <v>109</v>
      </c>
      <c r="C112" t="s">
        <v>1200</v>
      </c>
      <c r="D112" t="s">
        <v>1201</v>
      </c>
      <c r="E112" t="s">
        <v>1202</v>
      </c>
      <c r="F112" t="s">
        <v>1203</v>
      </c>
      <c r="G112" t="s">
        <v>1204</v>
      </c>
      <c r="H112" t="s">
        <v>1205</v>
      </c>
      <c r="I112" t="s">
        <v>1206</v>
      </c>
      <c r="J112" t="s">
        <v>1207</v>
      </c>
      <c r="K112" t="s">
        <v>1208</v>
      </c>
      <c r="L112" t="s">
        <v>1209</v>
      </c>
    </row>
    <row r="113" spans="1:12" x14ac:dyDescent="0.25">
      <c r="A113" s="22" t="str">
        <f t="shared" ca="1" si="1"/>
        <v>Douglas Fir</v>
      </c>
      <c r="B113" s="2">
        <v>110</v>
      </c>
      <c r="C113" t="s">
        <v>1210</v>
      </c>
      <c r="D113" t="s">
        <v>1211</v>
      </c>
      <c r="E113" t="s">
        <v>1212</v>
      </c>
      <c r="F113" t="s">
        <v>1213</v>
      </c>
      <c r="G113" t="s">
        <v>1214</v>
      </c>
      <c r="H113" t="s">
        <v>1215</v>
      </c>
      <c r="I113" t="s">
        <v>1215</v>
      </c>
      <c r="K113" t="s">
        <v>1216</v>
      </c>
      <c r="L113" t="s">
        <v>1217</v>
      </c>
    </row>
    <row r="114" spans="1:12" x14ac:dyDescent="0.25">
      <c r="A114" s="22" t="str">
        <f t="shared" ca="1" si="1"/>
        <v>Ebony</v>
      </c>
      <c r="B114" s="2">
        <v>111</v>
      </c>
      <c r="C114" t="s">
        <v>1218</v>
      </c>
      <c r="D114" t="s">
        <v>1219</v>
      </c>
      <c r="E114" t="s">
        <v>1220</v>
      </c>
      <c r="F114" t="s">
        <v>1221</v>
      </c>
      <c r="G114" t="s">
        <v>1222</v>
      </c>
      <c r="H114" t="s">
        <v>1223</v>
      </c>
      <c r="I114" t="s">
        <v>1224</v>
      </c>
      <c r="J114" t="s">
        <v>1225</v>
      </c>
      <c r="K114" t="s">
        <v>1226</v>
      </c>
      <c r="L114" t="s">
        <v>1227</v>
      </c>
    </row>
    <row r="115" spans="1:12" x14ac:dyDescent="0.25">
      <c r="A115" s="22" t="str">
        <f t="shared" ca="1" si="1"/>
        <v>Alder</v>
      </c>
      <c r="B115" s="2">
        <v>112</v>
      </c>
      <c r="C115" t="s">
        <v>1228</v>
      </c>
      <c r="D115" t="s">
        <v>1229</v>
      </c>
      <c r="E115" t="s">
        <v>1230</v>
      </c>
      <c r="F115" t="s">
        <v>1231</v>
      </c>
      <c r="G115" t="s">
        <v>1232</v>
      </c>
      <c r="H115" t="s">
        <v>1233</v>
      </c>
      <c r="I115" t="s">
        <v>1234</v>
      </c>
      <c r="J115" t="s">
        <v>1235</v>
      </c>
      <c r="K115" t="s">
        <v>1236</v>
      </c>
      <c r="L115" t="s">
        <v>1237</v>
      </c>
    </row>
    <row r="116" spans="1:12" x14ac:dyDescent="0.25">
      <c r="A116" s="22" t="str">
        <f t="shared" ca="1" si="1"/>
        <v>Ash</v>
      </c>
      <c r="B116" s="2">
        <v>113</v>
      </c>
      <c r="C116" t="s">
        <v>1238</v>
      </c>
      <c r="D116" t="s">
        <v>1239</v>
      </c>
      <c r="E116" t="s">
        <v>1240</v>
      </c>
      <c r="F116" t="s">
        <v>1241</v>
      </c>
      <c r="G116" t="s">
        <v>1242</v>
      </c>
      <c r="H116" t="s">
        <v>1243</v>
      </c>
      <c r="I116" t="s">
        <v>1244</v>
      </c>
      <c r="J116" t="s">
        <v>1245</v>
      </c>
      <c r="K116" t="s">
        <v>1246</v>
      </c>
      <c r="L116" t="s">
        <v>1247</v>
      </c>
    </row>
    <row r="117" spans="1:12" x14ac:dyDescent="0.25">
      <c r="A117" s="22" t="str">
        <f t="shared" ca="1" si="1"/>
        <v>Aspen</v>
      </c>
      <c r="B117" s="2">
        <v>114</v>
      </c>
      <c r="C117" t="s">
        <v>1248</v>
      </c>
      <c r="D117" t="s">
        <v>1249</v>
      </c>
      <c r="E117" t="s">
        <v>1250</v>
      </c>
      <c r="F117" t="s">
        <v>1251</v>
      </c>
      <c r="G117" t="s">
        <v>1252</v>
      </c>
      <c r="H117" t="s">
        <v>1253</v>
      </c>
      <c r="I117" t="s">
        <v>1254</v>
      </c>
      <c r="J117" t="s">
        <v>1255</v>
      </c>
      <c r="K117" t="s">
        <v>1256</v>
      </c>
      <c r="L117" t="s">
        <v>1257</v>
      </c>
    </row>
    <row r="118" spans="1:12" x14ac:dyDescent="0.25">
      <c r="A118" s="22" t="str">
        <f t="shared" ca="1" si="1"/>
        <v>Spruce</v>
      </c>
      <c r="B118" s="2">
        <v>115</v>
      </c>
      <c r="C118" t="s">
        <v>1258</v>
      </c>
      <c r="D118" t="s">
        <v>1259</v>
      </c>
      <c r="E118" t="s">
        <v>1260</v>
      </c>
      <c r="F118" t="s">
        <v>1261</v>
      </c>
      <c r="G118" t="s">
        <v>1262</v>
      </c>
      <c r="H118" t="s">
        <v>1263</v>
      </c>
      <c r="I118" t="s">
        <v>1264</v>
      </c>
      <c r="J118" t="s">
        <v>1265</v>
      </c>
      <c r="K118" t="s">
        <v>1266</v>
      </c>
      <c r="L118" t="s">
        <v>1267</v>
      </c>
    </row>
    <row r="119" spans="1:12" x14ac:dyDescent="0.25">
      <c r="A119" s="22" t="str">
        <f t="shared" ca="1" si="1"/>
        <v>Gaboon</v>
      </c>
      <c r="B119" s="2">
        <v>116</v>
      </c>
      <c r="C119" t="s">
        <v>1268</v>
      </c>
      <c r="D119" t="s">
        <v>1269</v>
      </c>
      <c r="E119" t="s">
        <v>1270</v>
      </c>
      <c r="F119" t="s">
        <v>1271</v>
      </c>
      <c r="G119" t="s">
        <v>1270</v>
      </c>
      <c r="H119" t="s">
        <v>1272</v>
      </c>
      <c r="I119" t="s">
        <v>1273</v>
      </c>
      <c r="K119" t="s">
        <v>1274</v>
      </c>
      <c r="L119" t="s">
        <v>1275</v>
      </c>
    </row>
    <row r="120" spans="1:12" x14ac:dyDescent="0.25">
      <c r="A120" s="22" t="str">
        <f t="shared" ca="1" si="1"/>
        <v>Hemlock</v>
      </c>
      <c r="B120" s="2">
        <v>117</v>
      </c>
      <c r="C120" t="s">
        <v>1276</v>
      </c>
      <c r="D120" t="s">
        <v>1276</v>
      </c>
      <c r="E120" t="s">
        <v>1276</v>
      </c>
      <c r="F120" t="s">
        <v>1277</v>
      </c>
      <c r="G120" t="s">
        <v>1276</v>
      </c>
      <c r="H120" t="s">
        <v>1276</v>
      </c>
      <c r="I120" t="s">
        <v>1276</v>
      </c>
      <c r="K120" t="s">
        <v>1278</v>
      </c>
      <c r="L120" t="s">
        <v>1279</v>
      </c>
    </row>
    <row r="121" spans="1:12" x14ac:dyDescent="0.25">
      <c r="A121" s="22" t="str">
        <f t="shared" ca="1" si="1"/>
        <v>Iroko</v>
      </c>
      <c r="B121" s="2">
        <v>118</v>
      </c>
      <c r="C121" t="s">
        <v>1280</v>
      </c>
      <c r="D121" t="s">
        <v>1280</v>
      </c>
      <c r="E121" t="s">
        <v>1280</v>
      </c>
      <c r="F121" t="s">
        <v>1280</v>
      </c>
      <c r="G121" t="s">
        <v>1280</v>
      </c>
      <c r="H121" t="s">
        <v>1280</v>
      </c>
      <c r="I121" t="s">
        <v>1281</v>
      </c>
      <c r="K121" t="s">
        <v>1282</v>
      </c>
      <c r="L121" t="s">
        <v>1283</v>
      </c>
    </row>
    <row r="122" spans="1:12" x14ac:dyDescent="0.25">
      <c r="A122" s="22" t="str">
        <f t="shared" ca="1" si="1"/>
        <v>Chestnut</v>
      </c>
      <c r="B122" s="2">
        <v>119</v>
      </c>
      <c r="C122" t="s">
        <v>1284</v>
      </c>
      <c r="D122" t="s">
        <v>1285</v>
      </c>
      <c r="E122" t="s">
        <v>1286</v>
      </c>
      <c r="F122" t="s">
        <v>1287</v>
      </c>
      <c r="G122" t="s">
        <v>1288</v>
      </c>
      <c r="H122" t="s">
        <v>1289</v>
      </c>
      <c r="I122" t="s">
        <v>1290</v>
      </c>
      <c r="J122" t="s">
        <v>1291</v>
      </c>
      <c r="K122" t="s">
        <v>1292</v>
      </c>
      <c r="L122" t="s">
        <v>1293</v>
      </c>
    </row>
    <row r="123" spans="1:12" x14ac:dyDescent="0.25">
      <c r="A123" s="22" t="str">
        <f t="shared" ca="1" si="1"/>
        <v>Pine</v>
      </c>
      <c r="B123" s="2">
        <v>120</v>
      </c>
      <c r="C123" t="s">
        <v>1294</v>
      </c>
      <c r="D123" t="s">
        <v>1295</v>
      </c>
      <c r="E123" t="s">
        <v>1296</v>
      </c>
      <c r="F123" t="s">
        <v>1297</v>
      </c>
      <c r="G123" t="s">
        <v>1298</v>
      </c>
      <c r="H123" t="s">
        <v>1297</v>
      </c>
      <c r="I123" t="s">
        <v>1299</v>
      </c>
      <c r="J123" t="s">
        <v>1300</v>
      </c>
      <c r="K123" t="s">
        <v>1301</v>
      </c>
      <c r="L123" t="s">
        <v>1302</v>
      </c>
    </row>
    <row r="124" spans="1:12" x14ac:dyDescent="0.25">
      <c r="A124" s="22" t="str">
        <f t="shared" ca="1" si="1"/>
        <v>Cherry</v>
      </c>
      <c r="B124" s="2">
        <v>121</v>
      </c>
      <c r="C124" t="s">
        <v>1303</v>
      </c>
      <c r="D124" t="s">
        <v>1304</v>
      </c>
      <c r="E124" t="s">
        <v>1305</v>
      </c>
      <c r="F124" t="s">
        <v>1306</v>
      </c>
      <c r="G124" t="s">
        <v>1307</v>
      </c>
      <c r="H124" t="s">
        <v>1308</v>
      </c>
      <c r="I124" t="s">
        <v>1309</v>
      </c>
      <c r="J124" t="s">
        <v>1310</v>
      </c>
      <c r="K124" t="s">
        <v>1311</v>
      </c>
      <c r="L124" t="s">
        <v>1312</v>
      </c>
    </row>
    <row r="125" spans="1:12" x14ac:dyDescent="0.25">
      <c r="A125" s="22" t="str">
        <f t="shared" ca="1" si="1"/>
        <v>Larch</v>
      </c>
      <c r="B125" s="2">
        <v>122</v>
      </c>
      <c r="C125" t="s">
        <v>1313</v>
      </c>
      <c r="D125" t="s">
        <v>1314</v>
      </c>
      <c r="E125" t="s">
        <v>1315</v>
      </c>
      <c r="F125" t="s">
        <v>1316</v>
      </c>
      <c r="G125" t="s">
        <v>1317</v>
      </c>
      <c r="H125" t="s">
        <v>1318</v>
      </c>
      <c r="I125" t="s">
        <v>1319</v>
      </c>
      <c r="J125" t="s">
        <v>1320</v>
      </c>
      <c r="K125" t="s">
        <v>1321</v>
      </c>
      <c r="L125" t="s">
        <v>1322</v>
      </c>
    </row>
    <row r="126" spans="1:12" x14ac:dyDescent="0.25">
      <c r="A126" s="22" t="str">
        <f t="shared" ca="1" si="1"/>
        <v>Mahogany</v>
      </c>
      <c r="B126" s="2">
        <v>123</v>
      </c>
      <c r="C126" t="s">
        <v>1323</v>
      </c>
      <c r="D126" t="s">
        <v>1324</v>
      </c>
      <c r="E126" t="s">
        <v>1325</v>
      </c>
      <c r="F126" t="s">
        <v>1326</v>
      </c>
      <c r="G126" t="s">
        <v>1327</v>
      </c>
      <c r="H126" t="s">
        <v>1328</v>
      </c>
      <c r="I126" t="s">
        <v>1329</v>
      </c>
      <c r="J126" t="s">
        <v>1330</v>
      </c>
      <c r="K126" t="s">
        <v>1331</v>
      </c>
      <c r="L126" t="s">
        <v>1332</v>
      </c>
    </row>
    <row r="127" spans="1:12" x14ac:dyDescent="0.25">
      <c r="A127" s="22" t="str">
        <f t="shared" ca="1" si="1"/>
        <v>Redwood</v>
      </c>
      <c r="B127" s="2">
        <v>124</v>
      </c>
      <c r="C127" t="s">
        <v>1333</v>
      </c>
      <c r="D127" t="s">
        <v>1334</v>
      </c>
      <c r="E127" t="s">
        <v>1335</v>
      </c>
      <c r="F127" t="s">
        <v>1336</v>
      </c>
      <c r="G127" t="s">
        <v>1337</v>
      </c>
      <c r="H127" t="s">
        <v>1338</v>
      </c>
      <c r="I127" t="s">
        <v>1339</v>
      </c>
      <c r="J127" t="s">
        <v>1340</v>
      </c>
      <c r="K127" t="s">
        <v>1341</v>
      </c>
      <c r="L127" t="s">
        <v>1342</v>
      </c>
    </row>
    <row r="128" spans="1:12" x14ac:dyDescent="0.25">
      <c r="A128" s="22" t="str">
        <f t="shared" ca="1" si="1"/>
        <v>Poplar</v>
      </c>
      <c r="B128" s="2">
        <v>125</v>
      </c>
      <c r="C128" t="s">
        <v>1343</v>
      </c>
      <c r="D128" t="s">
        <v>1344</v>
      </c>
      <c r="E128" t="s">
        <v>1345</v>
      </c>
      <c r="F128" t="s">
        <v>1346</v>
      </c>
      <c r="G128" t="s">
        <v>1347</v>
      </c>
      <c r="H128" t="s">
        <v>1253</v>
      </c>
      <c r="I128" t="s">
        <v>1254</v>
      </c>
      <c r="J128" t="s">
        <v>1348</v>
      </c>
      <c r="K128" t="s">
        <v>1349</v>
      </c>
      <c r="L128" t="s">
        <v>1350</v>
      </c>
    </row>
    <row r="129" spans="1:12" x14ac:dyDescent="0.25">
      <c r="A129" s="22" t="str">
        <f t="shared" ca="1" si="1"/>
        <v>Cottonwood</v>
      </c>
      <c r="B129" s="2">
        <v>126</v>
      </c>
      <c r="C129" t="s">
        <v>1351</v>
      </c>
      <c r="D129" t="s">
        <v>1352</v>
      </c>
      <c r="E129" t="s">
        <v>1353</v>
      </c>
      <c r="F129" t="s">
        <v>1354</v>
      </c>
      <c r="G129" t="s">
        <v>1355</v>
      </c>
      <c r="H129" t="s">
        <v>1356</v>
      </c>
      <c r="I129" t="s">
        <v>1357</v>
      </c>
      <c r="J129" t="s">
        <v>1358</v>
      </c>
      <c r="K129" t="s">
        <v>1359</v>
      </c>
      <c r="L129" t="s">
        <v>1360</v>
      </c>
    </row>
    <row r="130" spans="1:12" x14ac:dyDescent="0.25">
      <c r="A130" s="22" t="str">
        <f t="shared" ca="1" si="1"/>
        <v>Pecan</v>
      </c>
      <c r="B130" s="2">
        <v>127</v>
      </c>
      <c r="C130" t="s">
        <v>1361</v>
      </c>
      <c r="D130" t="s">
        <v>1362</v>
      </c>
      <c r="E130" t="s">
        <v>1363</v>
      </c>
      <c r="F130" t="s">
        <v>1362</v>
      </c>
      <c r="G130" t="s">
        <v>1364</v>
      </c>
      <c r="H130" t="s">
        <v>1365</v>
      </c>
      <c r="I130" t="s">
        <v>1366</v>
      </c>
      <c r="K130" t="s">
        <v>1367</v>
      </c>
      <c r="L130" t="s">
        <v>1368</v>
      </c>
    </row>
    <row r="131" spans="1:12" x14ac:dyDescent="0.25">
      <c r="A131" s="22" t="str">
        <f t="shared" ca="1" si="1"/>
        <v>Sycamore</v>
      </c>
      <c r="B131" s="2">
        <v>128</v>
      </c>
      <c r="C131" t="s">
        <v>1369</v>
      </c>
      <c r="D131" t="s">
        <v>1370</v>
      </c>
      <c r="E131" t="s">
        <v>1371</v>
      </c>
      <c r="F131" t="s">
        <v>1372</v>
      </c>
      <c r="G131" t="s">
        <v>1369</v>
      </c>
      <c r="H131" t="s">
        <v>1373</v>
      </c>
      <c r="I131" t="s">
        <v>1374</v>
      </c>
      <c r="K131" t="s">
        <v>1375</v>
      </c>
      <c r="L131" t="s">
        <v>1376</v>
      </c>
    </row>
    <row r="132" spans="1:12" x14ac:dyDescent="0.25">
      <c r="A132" s="22" t="str">
        <f t="shared" ca="1" si="1"/>
        <v>Lignum Vitae</v>
      </c>
      <c r="B132" s="2">
        <v>129</v>
      </c>
      <c r="C132" t="s">
        <v>1377</v>
      </c>
      <c r="D132" t="s">
        <v>1378</v>
      </c>
      <c r="E132" t="s">
        <v>1378</v>
      </c>
      <c r="F132" t="s">
        <v>1379</v>
      </c>
      <c r="G132" t="s">
        <v>1380</v>
      </c>
      <c r="H132" t="s">
        <v>1380</v>
      </c>
      <c r="I132" t="s">
        <v>1381</v>
      </c>
      <c r="K132" t="s">
        <v>1382</v>
      </c>
      <c r="L132" t="s">
        <v>1383</v>
      </c>
    </row>
    <row r="133" spans="1:12" x14ac:dyDescent="0.25">
      <c r="A133" s="22" t="str">
        <f t="shared" ca="1" si="1"/>
        <v>Ramin</v>
      </c>
      <c r="B133" s="2">
        <v>130</v>
      </c>
      <c r="C133" t="s">
        <v>1384</v>
      </c>
      <c r="D133" t="s">
        <v>1384</v>
      </c>
      <c r="E133" t="s">
        <v>1385</v>
      </c>
      <c r="F133" t="s">
        <v>1386</v>
      </c>
      <c r="G133" t="s">
        <v>1384</v>
      </c>
      <c r="H133" t="s">
        <v>1387</v>
      </c>
      <c r="I133" t="s">
        <v>1388</v>
      </c>
      <c r="K133" t="s">
        <v>1389</v>
      </c>
      <c r="L133" t="s">
        <v>1390</v>
      </c>
    </row>
    <row r="134" spans="1:12" x14ac:dyDescent="0.25">
      <c r="A134" s="22" t="str">
        <f t="shared" ca="1" si="1"/>
        <v>Locust</v>
      </c>
      <c r="B134" s="2">
        <v>131</v>
      </c>
      <c r="C134" t="s">
        <v>1391</v>
      </c>
      <c r="D134" t="s">
        <v>1392</v>
      </c>
      <c r="E134" t="s">
        <v>1393</v>
      </c>
      <c r="F134" t="s">
        <v>1393</v>
      </c>
      <c r="G134" t="s">
        <v>1394</v>
      </c>
      <c r="H134" t="s">
        <v>1393</v>
      </c>
      <c r="I134" t="s">
        <v>1393</v>
      </c>
      <c r="K134" t="s">
        <v>1395</v>
      </c>
      <c r="L134" t="s">
        <v>1396</v>
      </c>
    </row>
    <row r="135" spans="1:12" x14ac:dyDescent="0.25">
      <c r="A135" s="22" t="str">
        <f t="shared" ca="1" si="1"/>
        <v>Particle Board</v>
      </c>
      <c r="B135" s="2">
        <v>132</v>
      </c>
      <c r="C135" t="s">
        <v>1102</v>
      </c>
      <c r="D135" t="s">
        <v>1397</v>
      </c>
      <c r="E135" t="s">
        <v>1398</v>
      </c>
      <c r="F135" t="s">
        <v>1105</v>
      </c>
      <c r="G135" t="s">
        <v>1106</v>
      </c>
      <c r="H135" t="s">
        <v>1107</v>
      </c>
      <c r="I135" t="s">
        <v>1399</v>
      </c>
      <c r="J135" t="s">
        <v>1109</v>
      </c>
      <c r="K135" t="s">
        <v>1110</v>
      </c>
      <c r="L135" t="s">
        <v>1111</v>
      </c>
    </row>
    <row r="136" spans="1:12" x14ac:dyDescent="0.25">
      <c r="A136" s="22" t="str">
        <f t="shared" ca="1" si="1"/>
        <v>Fir</v>
      </c>
      <c r="B136" s="2">
        <v>133</v>
      </c>
      <c r="C136" t="s">
        <v>1400</v>
      </c>
      <c r="D136" t="s">
        <v>1401</v>
      </c>
      <c r="E136" t="s">
        <v>1402</v>
      </c>
      <c r="F136" t="s">
        <v>1403</v>
      </c>
      <c r="G136" t="s">
        <v>1404</v>
      </c>
      <c r="H136" t="s">
        <v>1264</v>
      </c>
      <c r="I136" t="s">
        <v>1264</v>
      </c>
      <c r="J136" t="s">
        <v>1300</v>
      </c>
      <c r="K136" t="s">
        <v>1405</v>
      </c>
      <c r="L136" t="s">
        <v>1406</v>
      </c>
    </row>
    <row r="137" spans="1:12" x14ac:dyDescent="0.25">
      <c r="A137" s="22" t="str">
        <f t="shared" ca="1" si="1"/>
        <v>Teak</v>
      </c>
      <c r="B137" s="2">
        <v>134</v>
      </c>
      <c r="C137" t="s">
        <v>1407</v>
      </c>
      <c r="D137" t="s">
        <v>1407</v>
      </c>
      <c r="E137" t="s">
        <v>1407</v>
      </c>
      <c r="F137" t="s">
        <v>1407</v>
      </c>
      <c r="G137" t="s">
        <v>1407</v>
      </c>
      <c r="H137" t="s">
        <v>1408</v>
      </c>
      <c r="I137" t="s">
        <v>1408</v>
      </c>
      <c r="J137" t="s">
        <v>1409</v>
      </c>
      <c r="K137" t="s">
        <v>1410</v>
      </c>
      <c r="L137" t="s">
        <v>1411</v>
      </c>
    </row>
    <row r="138" spans="1:12" x14ac:dyDescent="0.25">
      <c r="A138" s="22" t="str">
        <f t="shared" ca="1" si="1"/>
        <v>Elm</v>
      </c>
      <c r="B138" s="2">
        <v>135</v>
      </c>
      <c r="C138" t="s">
        <v>1412</v>
      </c>
      <c r="D138" t="s">
        <v>1413</v>
      </c>
      <c r="E138" t="s">
        <v>1414</v>
      </c>
      <c r="F138" t="s">
        <v>1415</v>
      </c>
      <c r="G138" t="s">
        <v>1416</v>
      </c>
      <c r="H138" t="s">
        <v>1415</v>
      </c>
      <c r="I138" t="s">
        <v>1415</v>
      </c>
      <c r="J138" t="s">
        <v>1417</v>
      </c>
      <c r="K138" t="s">
        <v>1418</v>
      </c>
      <c r="L138" t="s">
        <v>1419</v>
      </c>
    </row>
    <row r="139" spans="1:12" x14ac:dyDescent="0.25">
      <c r="A139" s="22" t="str">
        <f t="shared" ca="1" si="1"/>
        <v>Hickory</v>
      </c>
      <c r="B139" s="2">
        <v>136</v>
      </c>
      <c r="C139" t="s">
        <v>1420</v>
      </c>
      <c r="D139" t="s">
        <v>1421</v>
      </c>
      <c r="E139" t="s">
        <v>1422</v>
      </c>
      <c r="F139" t="s">
        <v>1423</v>
      </c>
      <c r="G139" t="s">
        <v>1424</v>
      </c>
      <c r="H139" t="s">
        <v>1425</v>
      </c>
      <c r="I139" t="s">
        <v>1426</v>
      </c>
      <c r="J139" t="s">
        <v>1427</v>
      </c>
      <c r="K139" t="s">
        <v>1428</v>
      </c>
      <c r="L139" t="s">
        <v>1429</v>
      </c>
    </row>
    <row r="140" spans="1:12" x14ac:dyDescent="0.25">
      <c r="A140" s="22" t="str">
        <f t="shared" ca="1" si="1"/>
        <v>Willow</v>
      </c>
      <c r="B140" s="2">
        <v>137</v>
      </c>
      <c r="C140" t="s">
        <v>1430</v>
      </c>
      <c r="D140" t="s">
        <v>1431</v>
      </c>
      <c r="E140" t="s">
        <v>1432</v>
      </c>
      <c r="F140" t="s">
        <v>1433</v>
      </c>
      <c r="G140" t="s">
        <v>1434</v>
      </c>
      <c r="H140" t="s">
        <v>1435</v>
      </c>
      <c r="I140" t="s">
        <v>1436</v>
      </c>
      <c r="J140" t="s">
        <v>1437</v>
      </c>
      <c r="K140" t="s">
        <v>1438</v>
      </c>
      <c r="L140" t="s">
        <v>1439</v>
      </c>
    </row>
    <row r="141" spans="1:12" x14ac:dyDescent="0.25">
      <c r="A141" s="22" t="str">
        <f t="shared" ca="1" si="1"/>
        <v>Cedar</v>
      </c>
      <c r="B141" s="2">
        <v>138</v>
      </c>
      <c r="C141" t="s">
        <v>1440</v>
      </c>
      <c r="D141" t="s">
        <v>1441</v>
      </c>
      <c r="E141" t="s">
        <v>1442</v>
      </c>
      <c r="F141" t="s">
        <v>1443</v>
      </c>
      <c r="G141" t="s">
        <v>1444</v>
      </c>
      <c r="H141" t="s">
        <v>1443</v>
      </c>
      <c r="I141" t="s">
        <v>1445</v>
      </c>
      <c r="J141" t="s">
        <v>1446</v>
      </c>
      <c r="K141" t="s">
        <v>1447</v>
      </c>
      <c r="L141" t="s">
        <v>1448</v>
      </c>
    </row>
    <row r="142" spans="1:12" x14ac:dyDescent="0.25">
      <c r="A142" s="22" t="str">
        <f t="shared" ca="1" si="1"/>
        <v>Cypress</v>
      </c>
      <c r="B142" s="2">
        <v>139</v>
      </c>
      <c r="C142" t="s">
        <v>1449</v>
      </c>
      <c r="D142" t="s">
        <v>1450</v>
      </c>
      <c r="E142" t="s">
        <v>1450</v>
      </c>
      <c r="F142" t="s">
        <v>1451</v>
      </c>
      <c r="G142" t="s">
        <v>1452</v>
      </c>
      <c r="H142" t="s">
        <v>1453</v>
      </c>
      <c r="I142" t="s">
        <v>1454</v>
      </c>
      <c r="J142" t="s">
        <v>1455</v>
      </c>
      <c r="K142" t="s">
        <v>1456</v>
      </c>
      <c r="L142" t="s">
        <v>1457</v>
      </c>
    </row>
  </sheetData>
  <conditionalFormatting sqref="I47">
    <cfRule type="cellIs" priority="1" operator="equal">
      <formula>$A$75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/>
  <dimension ref="A1:Q185"/>
  <sheetViews>
    <sheetView topLeftCell="A52" workbookViewId="0">
      <selection activeCell="J91" sqref="J91"/>
    </sheetView>
  </sheetViews>
  <sheetFormatPr baseColWidth="10" defaultRowHeight="15" x14ac:dyDescent="0.25"/>
  <cols>
    <col min="12" max="12" width="13.5703125" customWidth="1"/>
  </cols>
  <sheetData>
    <row r="1" spans="1:13" x14ac:dyDescent="0.25">
      <c r="A1" s="34" t="s">
        <v>1470</v>
      </c>
    </row>
    <row r="2" spans="1:13" x14ac:dyDescent="0.25">
      <c r="A2" s="5">
        <f>VLOOKUP(A3,A4:C9,3,FALSE)</f>
        <v>110</v>
      </c>
      <c r="E2" s="4" t="s">
        <v>953</v>
      </c>
      <c r="F2" s="4"/>
      <c r="G2" s="4"/>
      <c r="I2" s="5" t="str">
        <f>VLOOKUP(I3,I4:J8,2,FALSE)</f>
        <v>45/9,5</v>
      </c>
      <c r="L2" s="5">
        <f>VLOOKUP(L3,L4:M12,2,FALSE)</f>
        <v>4</v>
      </c>
    </row>
    <row r="3" spans="1:13" x14ac:dyDescent="0.25">
      <c r="A3" s="2">
        <v>1</v>
      </c>
      <c r="B3" s="2" t="str">
        <f>Sprache!C20</f>
        <v>Scharnier</v>
      </c>
      <c r="E3" s="5">
        <v>26</v>
      </c>
      <c r="F3" s="4">
        <f>E3-20</f>
        <v>6</v>
      </c>
      <c r="G3" s="4"/>
      <c r="I3">
        <v>5</v>
      </c>
      <c r="J3" t="s">
        <v>2</v>
      </c>
      <c r="L3">
        <v>3</v>
      </c>
      <c r="M3" t="s">
        <v>1</v>
      </c>
    </row>
    <row r="4" spans="1:13" x14ac:dyDescent="0.25">
      <c r="A4" s="4">
        <v>1</v>
      </c>
      <c r="B4" s="2" t="s">
        <v>30</v>
      </c>
      <c r="C4" s="2">
        <v>110</v>
      </c>
      <c r="E4" s="4"/>
      <c r="F4" s="4"/>
      <c r="G4" s="4"/>
      <c r="I4">
        <v>1</v>
      </c>
      <c r="J4" t="s">
        <v>12</v>
      </c>
      <c r="L4">
        <v>1</v>
      </c>
      <c r="M4" s="105">
        <v>3</v>
      </c>
    </row>
    <row r="5" spans="1:13" x14ac:dyDescent="0.25">
      <c r="A5">
        <v>2</v>
      </c>
      <c r="B5" s="2" t="s">
        <v>31</v>
      </c>
      <c r="C5" s="2">
        <v>120</v>
      </c>
      <c r="E5" s="4"/>
      <c r="F5" s="4"/>
      <c r="G5" s="4"/>
      <c r="I5">
        <v>2</v>
      </c>
      <c r="J5" t="s">
        <v>13</v>
      </c>
      <c r="L5">
        <v>2</v>
      </c>
      <c r="M5" s="105">
        <v>3.5</v>
      </c>
    </row>
    <row r="6" spans="1:13" x14ac:dyDescent="0.25">
      <c r="A6">
        <v>3</v>
      </c>
      <c r="B6" s="2" t="s">
        <v>32</v>
      </c>
      <c r="C6" s="2">
        <v>160</v>
      </c>
      <c r="E6" s="5" t="str">
        <f ca="1">VLOOKUP(E7,E8:F10,2,FALSE)</f>
        <v>Click-on press in</v>
      </c>
      <c r="F6" s="4"/>
      <c r="G6" s="4"/>
      <c r="I6">
        <v>3</v>
      </c>
      <c r="J6" t="s">
        <v>14</v>
      </c>
      <c r="L6">
        <v>3</v>
      </c>
      <c r="M6" s="105">
        <v>4</v>
      </c>
    </row>
    <row r="7" spans="1:13" x14ac:dyDescent="0.25">
      <c r="A7">
        <v>4</v>
      </c>
      <c r="B7" s="2" t="s">
        <v>29</v>
      </c>
      <c r="C7" s="2">
        <v>95</v>
      </c>
      <c r="E7" s="4">
        <v>2</v>
      </c>
      <c r="F7" s="4" t="s">
        <v>970</v>
      </c>
      <c r="G7" s="4"/>
      <c r="I7">
        <v>4</v>
      </c>
      <c r="J7" t="s">
        <v>15</v>
      </c>
      <c r="L7">
        <v>4</v>
      </c>
      <c r="M7" s="105">
        <v>4.5</v>
      </c>
    </row>
    <row r="8" spans="1:13" x14ac:dyDescent="0.25">
      <c r="B8" s="2"/>
      <c r="C8" s="2"/>
      <c r="E8" s="4">
        <v>1</v>
      </c>
      <c r="F8" s="4" t="str">
        <f ca="1">Sprache!A28</f>
        <v>Click-on screw</v>
      </c>
      <c r="G8" s="4"/>
      <c r="I8">
        <v>5</v>
      </c>
      <c r="J8" t="s">
        <v>3</v>
      </c>
      <c r="L8">
        <v>5</v>
      </c>
      <c r="M8" s="105">
        <v>5</v>
      </c>
    </row>
    <row r="9" spans="1:13" x14ac:dyDescent="0.25">
      <c r="B9" s="3"/>
      <c r="C9" s="3"/>
      <c r="E9">
        <v>2</v>
      </c>
      <c r="F9" s="4" t="str">
        <f ca="1">Sprache!A29</f>
        <v>Click-on press in</v>
      </c>
      <c r="L9">
        <v>6</v>
      </c>
      <c r="M9" s="105">
        <v>5.5</v>
      </c>
    </row>
    <row r="10" spans="1:13" x14ac:dyDescent="0.25">
      <c r="E10">
        <v>3</v>
      </c>
      <c r="F10" s="4" t="str">
        <f ca="1">Sprache!A30</f>
        <v>Impresso</v>
      </c>
      <c r="L10">
        <v>7</v>
      </c>
      <c r="M10" s="105">
        <v>6</v>
      </c>
    </row>
    <row r="11" spans="1:13" x14ac:dyDescent="0.25">
      <c r="L11">
        <v>8</v>
      </c>
      <c r="M11" s="105">
        <v>6.5</v>
      </c>
    </row>
    <row r="12" spans="1:13" x14ac:dyDescent="0.25">
      <c r="L12">
        <v>9</v>
      </c>
      <c r="M12" s="105">
        <v>7</v>
      </c>
    </row>
    <row r="15" spans="1:13" x14ac:dyDescent="0.25">
      <c r="A15" s="5" t="str">
        <f ca="1">VLOOKUP(A16,A17:B19,2,FALSE)</f>
        <v>Screw on version</v>
      </c>
      <c r="E15" s="5" t="str">
        <f ca="1">VLOOKUP(E16,E17:F19,2,FALSE)</f>
        <v>with soft close</v>
      </c>
      <c r="H15" s="5" t="str">
        <f ca="1">VLOOKUP(H16,H17:I18,2,FALSE)</f>
        <v>Cross mounting plate</v>
      </c>
      <c r="L15">
        <f>VLOOKUP(L16,N20:Q21,A16+1,FALSE)</f>
        <v>3</v>
      </c>
      <c r="M15" t="str">
        <f ca="1">VLOOKUP(L16,M17:Q18,A16+2,FALSE)</f>
        <v>Screw on (Euro screws)</v>
      </c>
    </row>
    <row r="16" spans="1:13" x14ac:dyDescent="0.25">
      <c r="A16">
        <v>1</v>
      </c>
      <c r="B16" t="s">
        <v>16</v>
      </c>
      <c r="E16">
        <v>1</v>
      </c>
      <c r="F16" t="s">
        <v>20</v>
      </c>
      <c r="H16">
        <v>1</v>
      </c>
      <c r="I16" t="s">
        <v>27</v>
      </c>
      <c r="L16" s="5">
        <v>2</v>
      </c>
      <c r="M16" t="s">
        <v>944</v>
      </c>
    </row>
    <row r="17" spans="1:17" x14ac:dyDescent="0.25">
      <c r="A17" s="4">
        <v>1</v>
      </c>
      <c r="B17" t="str">
        <f ca="1">Sprache!A31</f>
        <v>Screw on version</v>
      </c>
      <c r="E17" s="4">
        <v>1</v>
      </c>
      <c r="F17" t="str">
        <f ca="1">Sprache!A39</f>
        <v>with soft close</v>
      </c>
      <c r="H17" s="4">
        <v>1</v>
      </c>
      <c r="I17" t="str">
        <f ca="1">Sprache!A42</f>
        <v>Cross mounting plate</v>
      </c>
      <c r="L17" t="str">
        <f ca="1">VLOOKUP(1,N17:Q17,A16+1,FALSE)</f>
        <v>Screw on (wood screws)</v>
      </c>
      <c r="M17">
        <v>1</v>
      </c>
      <c r="N17">
        <v>1</v>
      </c>
      <c r="O17" t="str">
        <f ca="1">Sprache!A34</f>
        <v>Screw on (wood screws)</v>
      </c>
      <c r="P17" t="str">
        <f ca="1">Sprache!$A$36</f>
        <v>press in</v>
      </c>
      <c r="Q17" t="str">
        <f ca="1">Sprache!A37</f>
        <v>prem. Euro [13,5]</v>
      </c>
    </row>
    <row r="18" spans="1:17" x14ac:dyDescent="0.25">
      <c r="A18">
        <v>2</v>
      </c>
      <c r="B18" t="str">
        <f ca="1">Sprache!A32</f>
        <v>Pres in version</v>
      </c>
      <c r="E18">
        <v>2</v>
      </c>
      <c r="F18" t="str">
        <f ca="1">Sprache!A40</f>
        <v>w/o soft close</v>
      </c>
      <c r="H18">
        <v>2</v>
      </c>
      <c r="I18" t="str">
        <f ca="1">Sprache!A43</f>
        <v>Linear mounting plate</v>
      </c>
      <c r="L18" t="str">
        <f ca="1">VLOOKUP(1,N18:Q18,A16+1,FALSE)</f>
        <v>Screw on (Euro screws)</v>
      </c>
      <c r="M18">
        <v>2</v>
      </c>
      <c r="N18">
        <v>1</v>
      </c>
      <c r="O18" t="str">
        <f ca="1">Sprache!A35</f>
        <v>Screw on (Euro screws)</v>
      </c>
      <c r="P18" t="str">
        <f ca="1">Sprache!$A$36</f>
        <v>press in</v>
      </c>
      <c r="Q18" t="str">
        <f ca="1">Sprache!A38</f>
        <v>prem. Euro [10,5]</v>
      </c>
    </row>
    <row r="19" spans="1:17" x14ac:dyDescent="0.25">
      <c r="A19">
        <v>3</v>
      </c>
      <c r="B19" t="str">
        <f ca="1">Sprache!A33</f>
        <v>Dowel version</v>
      </c>
      <c r="E19">
        <v>3</v>
      </c>
      <c r="F19" t="str">
        <f ca="1">Sprache!A41</f>
        <v>Tipmatic</v>
      </c>
    </row>
    <row r="20" spans="1:17" x14ac:dyDescent="0.25">
      <c r="N20">
        <v>1</v>
      </c>
      <c r="O20">
        <v>2</v>
      </c>
      <c r="P20">
        <v>1</v>
      </c>
      <c r="Q20">
        <v>4</v>
      </c>
    </row>
    <row r="21" spans="1:17" x14ac:dyDescent="0.25">
      <c r="N21">
        <v>2</v>
      </c>
      <c r="O21">
        <v>3</v>
      </c>
      <c r="P21">
        <v>1</v>
      </c>
      <c r="Q21">
        <v>5</v>
      </c>
    </row>
    <row r="23" spans="1:17" x14ac:dyDescent="0.25">
      <c r="N23" s="51">
        <v>1</v>
      </c>
      <c r="O23" s="51" t="s">
        <v>777</v>
      </c>
      <c r="P23" s="51"/>
      <c r="Q23" s="51"/>
    </row>
    <row r="24" spans="1:17" x14ac:dyDescent="0.25">
      <c r="A24" t="s">
        <v>5</v>
      </c>
      <c r="N24" s="51">
        <v>2</v>
      </c>
      <c r="O24" s="51" t="s">
        <v>778</v>
      </c>
      <c r="P24" s="51"/>
      <c r="Q24" s="51"/>
    </row>
    <row r="25" spans="1:17" x14ac:dyDescent="0.25">
      <c r="B25" s="40">
        <v>3</v>
      </c>
      <c r="C25" s="41"/>
      <c r="D25" s="40">
        <v>0</v>
      </c>
      <c r="E25" s="41"/>
      <c r="F25" s="40">
        <v>9.5</v>
      </c>
      <c r="G25" s="41"/>
      <c r="H25" s="40">
        <v>19</v>
      </c>
      <c r="I25" s="41"/>
      <c r="N25" s="51">
        <v>3</v>
      </c>
      <c r="O25" s="51" t="s">
        <v>779</v>
      </c>
      <c r="P25" s="51"/>
      <c r="Q25" s="51"/>
    </row>
    <row r="26" spans="1:17" x14ac:dyDescent="0.25">
      <c r="N26" s="51">
        <v>4</v>
      </c>
      <c r="O26" s="51" t="s">
        <v>780</v>
      </c>
      <c r="P26" s="51"/>
      <c r="Q26" s="51"/>
    </row>
    <row r="27" spans="1:17" x14ac:dyDescent="0.25">
      <c r="A27" t="s">
        <v>4</v>
      </c>
      <c r="N27" s="51">
        <v>5</v>
      </c>
      <c r="O27" s="51" t="s">
        <v>781</v>
      </c>
      <c r="P27" s="51"/>
      <c r="Q27" s="51"/>
    </row>
    <row r="28" spans="1:17" x14ac:dyDescent="0.25">
      <c r="B28" s="1" t="s">
        <v>957</v>
      </c>
      <c r="C28" s="1" t="s">
        <v>958</v>
      </c>
      <c r="D28" s="1" t="s">
        <v>957</v>
      </c>
      <c r="E28" s="1" t="s">
        <v>958</v>
      </c>
      <c r="F28" s="1" t="s">
        <v>957</v>
      </c>
      <c r="G28" s="1" t="s">
        <v>958</v>
      </c>
      <c r="H28" s="1" t="s">
        <v>957</v>
      </c>
      <c r="I28" s="1" t="s">
        <v>958</v>
      </c>
      <c r="J28" s="1" t="s">
        <v>959</v>
      </c>
    </row>
    <row r="29" spans="1:17" x14ac:dyDescent="0.25">
      <c r="B29" s="40">
        <f>IF((Selector!$B$19+J29-15-$L$2)*-1-$B$25&gt;=-2,(Selector!$B$19+J29-15-$L$2)*-1-$B$25,"")</f>
        <v>10</v>
      </c>
      <c r="C29" s="53">
        <f>Tabelle2[[#Totals],[Kröpfung 3]]</f>
        <v>0</v>
      </c>
      <c r="D29" s="11">
        <f>IF((Selector!$B$19+J29-15-$L$2)*-1-$D$25&gt;=-2,(Selector!$B$19+J29-15-$L$2)*-1-$D$25,"")</f>
        <v>13</v>
      </c>
      <c r="E29" s="53">
        <f>Tabelle2[[#Totals],[Kröpfung 0]]</f>
        <v>0</v>
      </c>
      <c r="F29" s="11">
        <f>IF((Selector!$B$19+J29-15-$L$2)*-1-$F$25&gt;=-2,(Selector!$B$19+J29-15-$L$2)*-1-$F$25,"")</f>
        <v>3.5</v>
      </c>
      <c r="G29" s="53">
        <f>Tabelle2[[#Totals],[Kröpfung 9,5]]</f>
        <v>1</v>
      </c>
      <c r="H29" s="11" t="str">
        <f>IF((Selector!$B$19+J29-15-$L$2)*-1-$H$25&gt;=-2,(Selector!$B$19+J29-15-$L$2)*-1-$H$25,"")</f>
        <v/>
      </c>
      <c r="I29" s="54">
        <f>Tabelle2[[#Totals],[Kröpfung 19]]</f>
        <v>0</v>
      </c>
      <c r="J29">
        <v>0</v>
      </c>
      <c r="L29">
        <v>1</v>
      </c>
    </row>
    <row r="30" spans="1:17" x14ac:dyDescent="0.25">
      <c r="B30" s="69">
        <f>IF((Selector!$B$19+J30-15-$L$2)*-1-$B$25&gt;=-2,(Selector!$B$19+J30-15-$L$2)*-1-$B$25,"-")</f>
        <v>11</v>
      </c>
      <c r="C30" s="68">
        <f>IFERROR(VLOOKUP(B30,$L$30:$M$73,2,FALSE),0)</f>
        <v>0</v>
      </c>
      <c r="D30" s="67">
        <f>IF((Selector!$B$19+J30-15-$L$2)*-1-$D$25&gt;=-2,(Selector!$B$19+J30-15-$L$2)*-1-$D$25,"-")</f>
        <v>14</v>
      </c>
      <c r="E30" s="68">
        <f>IFERROR(VLOOKUP(D30,$L$30:$M$73,2,FALSE),0)</f>
        <v>0</v>
      </c>
      <c r="F30" s="67">
        <f>IF((Selector!$B$19+J30-15-$L$2)*-1-$F$25&gt;=-2,(Selector!$B$19+J30-15-$L$2)*-1-$F$25,"-")</f>
        <v>4.5</v>
      </c>
      <c r="G30" s="68">
        <f>IFERROR(VLOOKUP(F30,$L$30:$M$73,2,FALSE),0)</f>
        <v>0</v>
      </c>
      <c r="H30" s="67" t="str">
        <f>IF((Selector!$B$19+J30-15-$L$2)*-1-$H$25&gt;=-2,(Selector!$B$19+J30-15-$L$2)*-1-$H$25,"-")</f>
        <v>-</v>
      </c>
      <c r="I30" s="68">
        <f>IFERROR(VLOOKUP(H30,$L$30:$M$73,2,FALSE),0)</f>
        <v>0</v>
      </c>
      <c r="J30">
        <v>-1</v>
      </c>
      <c r="L30" s="30">
        <f t="array" ref="L30">IFERROR(INDEX(Tabelle2[Höhe],LARGE((Tabelle2[Randbedingungen]=$L$29)*(ROW(Tabelle2[Randbedingungen])-2),COUNTIF(Tabelle2[Randbedingungen],$L$29)+1-ROW(A1))),"")</f>
        <v>0</v>
      </c>
      <c r="M30" s="30">
        <v>1</v>
      </c>
      <c r="N30" s="130" t="s">
        <v>1476</v>
      </c>
    </row>
    <row r="31" spans="1:17" x14ac:dyDescent="0.25">
      <c r="B31" s="69">
        <f>IF((Selector!$B$19+J31-15-$L$2)*-1-$B$25&gt;=-2,(Selector!$B$19+J31-15-$L$2)*-1-$B$25,"-")</f>
        <v>12</v>
      </c>
      <c r="C31" s="68">
        <f t="shared" ref="C31:C49" si="0">IFERROR(VLOOKUP(B31,$L$30:$M$73,2,FALSE),0)</f>
        <v>0</v>
      </c>
      <c r="D31" s="67">
        <f>IF((Selector!$B$19+J31-15-$L$2)*-1-$D$25&gt;=-2,(Selector!$B$19+J31-15-$L$2)*-1-$D$25,"-")</f>
        <v>15</v>
      </c>
      <c r="E31" s="68">
        <f t="shared" ref="E31:E49" si="1">IFERROR(VLOOKUP(D31,$L$30:$M$73,2,FALSE),0)</f>
        <v>0</v>
      </c>
      <c r="F31" s="67">
        <f>IF((Selector!$B$19+J31-15-$L$2)*-1-$F$25&gt;=-2,(Selector!$B$19+J31-15-$L$2)*-1-$F$25,"-")</f>
        <v>5.5</v>
      </c>
      <c r="G31" s="68">
        <f t="shared" ref="G31:G49" si="2">IFERROR(VLOOKUP(F31,$L$30:$M$73,2,FALSE),0)</f>
        <v>0</v>
      </c>
      <c r="H31" s="67" t="str">
        <f>IF((Selector!$B$19+J31-15-$L$2)*-1-$H$25&gt;=-2,(Selector!$B$19+J31-15-$L$2)*-1-$H$25,"-")</f>
        <v>-</v>
      </c>
      <c r="I31" s="68">
        <f t="shared" ref="I31:I49" si="3">IFERROR(VLOOKUP(H31,$L$30:$M$73,2,FALSE),0)</f>
        <v>0</v>
      </c>
      <c r="J31">
        <v>-2</v>
      </c>
      <c r="L31" s="30">
        <f t="array" ref="L31">IFERROR(INDEX(Tabelle2[Höhe],LARGE((Tabelle2[Randbedingungen]=$L$29)*(ROW(Tabelle2[Randbedingungen])-2),COUNTIF(Tabelle2[Randbedingungen],$L$29)+1-ROW(A2))),"")</f>
        <v>2</v>
      </c>
      <c r="M31" s="30">
        <v>1</v>
      </c>
      <c r="N31" s="130"/>
    </row>
    <row r="32" spans="1:17" x14ac:dyDescent="0.25">
      <c r="B32" s="69">
        <f>IF((Selector!$B$19+J32-15-$L$2)*-1-$B$25&gt;=-2,(Selector!$B$19+J32-15-$L$2)*-1-$B$25,"-")</f>
        <v>13</v>
      </c>
      <c r="C32" s="68">
        <f t="shared" si="0"/>
        <v>0</v>
      </c>
      <c r="D32" s="67">
        <f>IF((Selector!$B$19+J32-15-$L$2)*-1-$D$25&gt;=-2,(Selector!$B$19+J32-15-$L$2)*-1-$D$25,"-")</f>
        <v>16</v>
      </c>
      <c r="E32" s="68">
        <f t="shared" si="1"/>
        <v>0</v>
      </c>
      <c r="F32" s="67">
        <f>IF((Selector!$B$19+J32-15-$L$2)*-1-$F$25&gt;=-2,(Selector!$B$19+J32-15-$L$2)*-1-$F$25,"-")</f>
        <v>6.5</v>
      </c>
      <c r="G32" s="68">
        <f t="shared" si="2"/>
        <v>0</v>
      </c>
      <c r="H32" s="67" t="str">
        <f>IF((Selector!$B$19+J32-15-$L$2)*-1-$H$25&gt;=-2,(Selector!$B$19+J32-15-$L$2)*-1-$H$25,"-")</f>
        <v>-</v>
      </c>
      <c r="I32" s="68">
        <f t="shared" si="3"/>
        <v>0</v>
      </c>
      <c r="J32">
        <v>-3</v>
      </c>
      <c r="L32" s="30">
        <f t="array" ref="L32">IFERROR(INDEX(Tabelle2[Höhe],LARGE((Tabelle2[Randbedingungen]=$L$29)*(ROW(Tabelle2[Randbedingungen])-2),COUNTIF(Tabelle2[Randbedingungen],$L$29)+1-ROW(A3))),"")</f>
        <v>3</v>
      </c>
      <c r="M32" s="30">
        <v>1</v>
      </c>
      <c r="N32" s="130"/>
    </row>
    <row r="33" spans="2:14" x14ac:dyDescent="0.25">
      <c r="B33" s="69">
        <f>IF((Selector!$B$19+J33-15-$L$2)*-1-$B$25&gt;=-2,(Selector!$B$19+J33-15-$L$2)*-1-$B$25,"-")</f>
        <v>14</v>
      </c>
      <c r="C33" s="68">
        <f t="shared" si="0"/>
        <v>0</v>
      </c>
      <c r="D33" s="67">
        <f>IF((Selector!$B$19+J33-15-$L$2)*-1-$D$25&gt;=-2,(Selector!$B$19+J33-15-$L$2)*-1-$D$25,"-")</f>
        <v>17</v>
      </c>
      <c r="E33" s="68">
        <f t="shared" si="1"/>
        <v>0</v>
      </c>
      <c r="F33" s="67">
        <f>IF((Selector!$B$19+J33-15-$L$2)*-1-$F$25&gt;=-2,(Selector!$B$19+J33-15-$L$2)*-1-$F$25,"-")</f>
        <v>7.5</v>
      </c>
      <c r="G33" s="68">
        <f t="shared" si="2"/>
        <v>0</v>
      </c>
      <c r="H33" s="67">
        <f>IF((Selector!$B$19+J33-15-$L$2)*-1-$H$25&gt;=-2,(Selector!$B$19+J33-15-$L$2)*-1-$H$25,"-")</f>
        <v>-2</v>
      </c>
      <c r="I33" s="68">
        <f t="shared" si="3"/>
        <v>0</v>
      </c>
      <c r="J33">
        <v>-4</v>
      </c>
      <c r="L33" s="30">
        <f t="array" ref="L33">IFERROR(INDEX(Tabelle2[Höhe],LARGE((Tabelle2[Randbedingungen]=$L$29)*(ROW(Tabelle2[Randbedingungen])-2),COUNTIF(Tabelle2[Randbedingungen],$L$29)+1-ROW(A4))),"")</f>
        <v>3.5</v>
      </c>
      <c r="M33" s="30">
        <v>1</v>
      </c>
      <c r="N33" s="130"/>
    </row>
    <row r="34" spans="2:14" x14ac:dyDescent="0.25">
      <c r="B34" s="69">
        <f>IF((Selector!$B$19+J34-15-$L$2)*-1-$B$25&gt;=-2,(Selector!$B$19+J34-15-$L$2)*-1-$B$25,"-")</f>
        <v>15</v>
      </c>
      <c r="C34" s="68">
        <f t="shared" si="0"/>
        <v>0</v>
      </c>
      <c r="D34" s="67">
        <f>IF((Selector!$B$19+J34-15-$L$2)*-1-$D$25&gt;=-2,(Selector!$B$19+J34-15-$L$2)*-1-$D$25,"-")</f>
        <v>18</v>
      </c>
      <c r="E34" s="68">
        <f t="shared" si="1"/>
        <v>0</v>
      </c>
      <c r="F34" s="67">
        <f>IF((Selector!$B$19+J34-15-$L$2)*-1-$F$25&gt;=-2,(Selector!$B$19+J34-15-$L$2)*-1-$F$25,"-")</f>
        <v>8.5</v>
      </c>
      <c r="G34" s="68">
        <f t="shared" si="2"/>
        <v>0</v>
      </c>
      <c r="H34" s="67">
        <f>IF((Selector!$B$19+J34-15-$L$2)*-1-$H$25&gt;=-2,(Selector!$B$19+J34-15-$L$2)*-1-$H$25,"-")</f>
        <v>-1</v>
      </c>
      <c r="I34" s="68">
        <f t="shared" si="3"/>
        <v>0</v>
      </c>
      <c r="J34">
        <v>-5</v>
      </c>
      <c r="L34" s="30" t="str">
        <f t="array" ref="L34">IFERROR(INDEX(Tabelle2[Höhe],LARGE((Tabelle2[Randbedingungen]=$L$29)*(ROW(Tabelle2[Randbedingungen])-2),COUNTIF(Tabelle2[Randbedingungen],$L$29)+1-ROW(A5))),"")</f>
        <v/>
      </c>
      <c r="M34" s="30">
        <v>1</v>
      </c>
      <c r="N34" s="130"/>
    </row>
    <row r="35" spans="2:14" x14ac:dyDescent="0.25">
      <c r="B35" s="69">
        <f>IF((Selector!$B$19+J35-15-$L$2)*-1-$B$25&gt;=-2,(Selector!$B$19+J35-15-$L$2)*-1-$B$25,"-")</f>
        <v>16</v>
      </c>
      <c r="C35" s="68">
        <f t="shared" si="0"/>
        <v>0</v>
      </c>
      <c r="D35" s="67">
        <f>IF((Selector!$B$19+J35-15-$L$2)*-1-$D$25&gt;=-2,(Selector!$B$19+J35-15-$L$2)*-1-$D$25,"-")</f>
        <v>19</v>
      </c>
      <c r="E35" s="68">
        <f t="shared" si="1"/>
        <v>0</v>
      </c>
      <c r="F35" s="67">
        <f>IF((Selector!$B$19+J35-15-$L$2)*-1-$F$25&gt;=-2,(Selector!$B$19+J35-15-$L$2)*-1-$F$25,"-")</f>
        <v>9.5</v>
      </c>
      <c r="G35" s="68">
        <f t="shared" si="2"/>
        <v>0</v>
      </c>
      <c r="H35" s="67">
        <f>IF((Selector!$B$19+J35-15-$L$2)*-1-$H$25&gt;=-2,(Selector!$B$19+J35-15-$L$2)*-1-$H$25,"-")</f>
        <v>0</v>
      </c>
      <c r="I35" s="68">
        <f t="shared" si="3"/>
        <v>1</v>
      </c>
      <c r="J35">
        <v>-6</v>
      </c>
      <c r="L35" s="30" t="str">
        <f t="array" ref="L35">IFERROR(INDEX(Tabelle2[Höhe],LARGE((Tabelle2[Randbedingungen]=$L$29)*(ROW(Tabelle2[Randbedingungen])-2),COUNTIF(Tabelle2[Randbedingungen],$L$29)+1-ROW(A6))),"")</f>
        <v/>
      </c>
      <c r="M35" s="30">
        <v>1</v>
      </c>
      <c r="N35" s="130"/>
    </row>
    <row r="36" spans="2:14" x14ac:dyDescent="0.25">
      <c r="B36" s="69">
        <f>IF((Selector!$B$19+J36-15-$L$2)*-1-$B$25&gt;=-2,(Selector!$B$19+J36-15-$L$2)*-1-$B$25,"-")</f>
        <v>17</v>
      </c>
      <c r="C36" s="68">
        <f t="shared" si="0"/>
        <v>0</v>
      </c>
      <c r="D36" s="67">
        <f>IF((Selector!$B$19+J36-15-$L$2)*-1-$D$25&gt;=-2,(Selector!$B$19+J36-15-$L$2)*-1-$D$25,"-")</f>
        <v>20</v>
      </c>
      <c r="E36" s="68">
        <f t="shared" si="1"/>
        <v>0</v>
      </c>
      <c r="F36" s="67">
        <f>IF((Selector!$B$19+J36-15-$L$2)*-1-$F$25&gt;=-2,(Selector!$B$19+J36-15-$L$2)*-1-$F$25,"-")</f>
        <v>10.5</v>
      </c>
      <c r="G36" s="68">
        <f t="shared" si="2"/>
        <v>0</v>
      </c>
      <c r="H36" s="67">
        <f>IF((Selector!$B$19+J36-15-$L$2)*-1-$H$25&gt;=-2,(Selector!$B$19+J36-15-$L$2)*-1-$H$25,"-")</f>
        <v>1</v>
      </c>
      <c r="I36" s="68">
        <f t="shared" si="3"/>
        <v>0</v>
      </c>
      <c r="J36">
        <v>-7</v>
      </c>
      <c r="L36" s="30" t="str">
        <f t="array" ref="L36">IFERROR(INDEX(Tabelle2[Höhe],LARGE((Tabelle2[Randbedingungen]=$L$29)*(ROW(Tabelle2[Randbedingungen])-2),COUNTIF(Tabelle2[Randbedingungen],$L$29)+1-ROW(A7))),"")</f>
        <v/>
      </c>
      <c r="M36" s="30">
        <v>1</v>
      </c>
      <c r="N36" s="130"/>
    </row>
    <row r="37" spans="2:14" x14ac:dyDescent="0.25">
      <c r="B37" s="69">
        <f>IF((Selector!$B$19+J37-15-$L$2)*-1-$B$25&gt;=-2,(Selector!$B$19+J37-15-$L$2)*-1-$B$25,"-")</f>
        <v>18</v>
      </c>
      <c r="C37" s="68">
        <f t="shared" si="0"/>
        <v>0</v>
      </c>
      <c r="D37" s="67">
        <f>IF((Selector!$B$19+J37-15-$L$2)*-1-$D$25&gt;=-2,(Selector!$B$19+J37-15-$L$2)*-1-$D$25,"-")</f>
        <v>21</v>
      </c>
      <c r="E37" s="68">
        <f t="shared" si="1"/>
        <v>0</v>
      </c>
      <c r="F37" s="67">
        <f>IF((Selector!$B$19+J37-15-$L$2)*-1-$F$25&gt;=-2,(Selector!$B$19+J37-15-$L$2)*-1-$F$25,"-")</f>
        <v>11.5</v>
      </c>
      <c r="G37" s="68">
        <f t="shared" si="2"/>
        <v>0</v>
      </c>
      <c r="H37" s="67">
        <f>IF((Selector!$B$19+J37-15-$L$2)*-1-$H$25&gt;=-2,(Selector!$B$19+J37-15-$L$2)*-1-$H$25,"-")</f>
        <v>2</v>
      </c>
      <c r="I37" s="68">
        <f t="shared" si="3"/>
        <v>1</v>
      </c>
      <c r="J37">
        <v>-8</v>
      </c>
      <c r="L37" s="30" t="str">
        <f t="array" ref="L37">IFERROR(INDEX(Tabelle2[Höhe],LARGE((Tabelle2[Randbedingungen]=$L$29)*(ROW(Tabelle2[Randbedingungen])-2),COUNTIF(Tabelle2[Randbedingungen],$L$29)+1-ROW(A8))),"")</f>
        <v/>
      </c>
      <c r="M37" s="30">
        <v>1</v>
      </c>
      <c r="N37" s="130"/>
    </row>
    <row r="38" spans="2:14" x14ac:dyDescent="0.25">
      <c r="B38" s="69">
        <f>IF((Selector!$B$19+J38-15-$L$2)*-1-$B$25&gt;=-2,(Selector!$B$19+J38-15-$L$2)*-1-$B$25,"-")</f>
        <v>19</v>
      </c>
      <c r="C38" s="68">
        <f t="shared" si="0"/>
        <v>0</v>
      </c>
      <c r="D38" s="67">
        <f>IF((Selector!$B$19+J38-15-$L$2)*-1-$D$25&gt;=-2,(Selector!$B$19+J38-15-$L$2)*-1-$D$25,"-")</f>
        <v>22</v>
      </c>
      <c r="E38" s="68">
        <f t="shared" si="1"/>
        <v>0</v>
      </c>
      <c r="F38" s="67">
        <f>IF((Selector!$B$19+J38-15-$L$2)*-1-$F$25&gt;=-2,(Selector!$B$19+J38-15-$L$2)*-1-$F$25,"-")</f>
        <v>12.5</v>
      </c>
      <c r="G38" s="68">
        <f t="shared" si="2"/>
        <v>0</v>
      </c>
      <c r="H38" s="67">
        <f>IF((Selector!$B$19+J38-15-$L$2)*-1-$H$25&gt;=-2,(Selector!$B$19+J38-15-$L$2)*-1-$H$25,"-")</f>
        <v>3</v>
      </c>
      <c r="I38" s="68">
        <f t="shared" si="3"/>
        <v>1</v>
      </c>
      <c r="J38">
        <v>-9</v>
      </c>
      <c r="L38" s="30" t="str">
        <f t="array" ref="L38">IFERROR(INDEX(Tabelle2[Höhe],LARGE((Tabelle2[Randbedingungen]=$L$29)*(ROW(Tabelle2[Randbedingungen])-2),COUNTIF(Tabelle2[Randbedingungen],$L$29)+1-ROW(A9))),"")</f>
        <v/>
      </c>
      <c r="M38" s="30">
        <v>1</v>
      </c>
      <c r="N38" s="130"/>
    </row>
    <row r="39" spans="2:14" x14ac:dyDescent="0.25">
      <c r="B39" s="69">
        <f>IF((Selector!$B$19+J39-15-$L$2)*-1-$B$25&gt;=-2,(Selector!$B$19+J39-15-$L$2)*-1-$B$25,"-")</f>
        <v>20</v>
      </c>
      <c r="C39" s="68">
        <f t="shared" si="0"/>
        <v>0</v>
      </c>
      <c r="D39" s="67">
        <f>IF((Selector!$B$19+J39-15-$L$2)*-1-$D$25&gt;=-2,(Selector!$B$19+J39-15-$L$2)*-1-$D$25,"-")</f>
        <v>23</v>
      </c>
      <c r="E39" s="68">
        <f t="shared" si="1"/>
        <v>0</v>
      </c>
      <c r="F39" s="67">
        <f>IF((Selector!$B$19+J39-15-$L$2)*-1-$F$25&gt;=-2,(Selector!$B$19+J39-15-$L$2)*-1-$F$25,"-")</f>
        <v>13.5</v>
      </c>
      <c r="G39" s="68">
        <f t="shared" si="2"/>
        <v>0</v>
      </c>
      <c r="H39" s="67">
        <f>IF((Selector!$B$19+J39-15-$L$2)*-1-$H$25&gt;=-2,(Selector!$B$19+J39-15-$L$2)*-1-$H$25,"-")</f>
        <v>4</v>
      </c>
      <c r="I39" s="68">
        <f t="shared" si="3"/>
        <v>0</v>
      </c>
      <c r="J39">
        <v>-10</v>
      </c>
      <c r="L39" s="30" t="str">
        <f t="array" ref="L39">IFERROR(INDEX(Tabelle2[Höhe],LARGE((Tabelle2[Randbedingungen]=$L$29)*(ROW(Tabelle2[Randbedingungen])-2),COUNTIF(Tabelle2[Randbedingungen],$L$29)+1-ROW(A10))),"")</f>
        <v/>
      </c>
      <c r="M39" s="30">
        <v>1</v>
      </c>
      <c r="N39" s="130"/>
    </row>
    <row r="40" spans="2:14" x14ac:dyDescent="0.25">
      <c r="B40" s="69">
        <f>IF((Selector!$B$19+J40-15-$L$2)*-1-$B$25&gt;=-2,(Selector!$B$19+J40-15-$L$2)*-1-$B$25,"-")</f>
        <v>21</v>
      </c>
      <c r="C40" s="68">
        <f t="shared" si="0"/>
        <v>0</v>
      </c>
      <c r="D40" s="67">
        <f>IF((Selector!$B$19+J40-15-$L$2)*-1-$D$25&gt;=-2,(Selector!$B$19+J40-15-$L$2)*-1-$D$25,"-")</f>
        <v>24</v>
      </c>
      <c r="E40" s="68">
        <f t="shared" si="1"/>
        <v>0</v>
      </c>
      <c r="F40" s="67">
        <f>IF((Selector!$B$19+J40-15-$L$2)*-1-$F$25&gt;=-2,(Selector!$B$19+J40-15-$L$2)*-1-$F$25,"-")</f>
        <v>14.5</v>
      </c>
      <c r="G40" s="68">
        <f t="shared" si="2"/>
        <v>0</v>
      </c>
      <c r="H40" s="67">
        <f>IF((Selector!$B$19+J40-15-$L$2)*-1-$H$25&gt;=-2,(Selector!$B$19+J40-15-$L$2)*-1-$H$25,"-")</f>
        <v>5</v>
      </c>
      <c r="I40" s="68">
        <f t="shared" si="3"/>
        <v>0</v>
      </c>
      <c r="J40">
        <v>-11</v>
      </c>
      <c r="L40" s="30" t="str">
        <f t="array" ref="L40">IFERROR(INDEX(Tabelle2[Höhe],LARGE((Tabelle2[Randbedingungen]=$L$29)*(ROW(Tabelle2[Randbedingungen])-2),COUNTIF(Tabelle2[Randbedingungen],$L$29)+1-ROW(A11))),"")</f>
        <v/>
      </c>
      <c r="M40" s="30">
        <v>1</v>
      </c>
      <c r="N40" s="130"/>
    </row>
    <row r="41" spans="2:14" x14ac:dyDescent="0.25">
      <c r="B41" s="69">
        <f>IF((Selector!$B$19+J41-15-$L$2)*-1-$B$25&gt;=-2,(Selector!$B$19+J41-15-$L$2)*-1-$B$25,"-")</f>
        <v>22</v>
      </c>
      <c r="C41" s="68">
        <f t="shared" si="0"/>
        <v>0</v>
      </c>
      <c r="D41" s="67">
        <f>IF((Selector!$B$19+J41-15-$L$2)*-1-$D$25&gt;=-2,(Selector!$B$19+J41-15-$L$2)*-1-$D$25,"-")</f>
        <v>25</v>
      </c>
      <c r="E41" s="68">
        <f t="shared" si="1"/>
        <v>0</v>
      </c>
      <c r="F41" s="67">
        <f>IF((Selector!$B$19+J41-15-$L$2)*-1-$F$25&gt;=-2,(Selector!$B$19+J41-15-$L$2)*-1-$F$25,"-")</f>
        <v>15.5</v>
      </c>
      <c r="G41" s="68">
        <f t="shared" si="2"/>
        <v>0</v>
      </c>
      <c r="H41" s="67">
        <f>IF((Selector!$B$19+J41-15-$L$2)*-1-$H$25&gt;=-2,(Selector!$B$19+J41-15-$L$2)*-1-$H$25,"-")</f>
        <v>6</v>
      </c>
      <c r="I41" s="68">
        <f t="shared" si="3"/>
        <v>0</v>
      </c>
      <c r="J41">
        <v>-12</v>
      </c>
      <c r="L41" s="30" t="str">
        <f t="array" ref="L41">IFERROR(INDEX(Tabelle2[Höhe],LARGE((Tabelle2[Randbedingungen]=$L$29)*(ROW(Tabelle2[Randbedingungen])-2),COUNTIF(Tabelle2[Randbedingungen],$L$29)+1-ROW(A12))),"")</f>
        <v/>
      </c>
      <c r="M41" s="30">
        <v>1</v>
      </c>
      <c r="N41" s="130"/>
    </row>
    <row r="42" spans="2:14" x14ac:dyDescent="0.25">
      <c r="B42" s="69">
        <f>IF((Selector!$B$19+J42-15-$L$2)*-1-$B$25&gt;=-2,(Selector!$B$19+J42-15-$L$2)*-1-$B$25,"-")</f>
        <v>23</v>
      </c>
      <c r="C42" s="68">
        <f t="shared" si="0"/>
        <v>0</v>
      </c>
      <c r="D42" s="67">
        <f>IF((Selector!$B$19+J42-15-$L$2)*-1-$D$25&gt;=-2,(Selector!$B$19+J42-15-$L$2)*-1-$D$25,"-")</f>
        <v>26</v>
      </c>
      <c r="E42" s="68">
        <f t="shared" si="1"/>
        <v>0</v>
      </c>
      <c r="F42" s="67">
        <f>IF((Selector!$B$19+J42-15-$L$2)*-1-$F$25&gt;=-2,(Selector!$B$19+J42-15-$L$2)*-1-$F$25,"-")</f>
        <v>16.5</v>
      </c>
      <c r="G42" s="68">
        <f t="shared" si="2"/>
        <v>0</v>
      </c>
      <c r="H42" s="67">
        <f>IF((Selector!$B$19+J42-15-$L$2)*-1-$H$25&gt;=-2,(Selector!$B$19+J42-15-$L$2)*-1-$H$25,"-")</f>
        <v>7</v>
      </c>
      <c r="I42" s="68">
        <f t="shared" si="3"/>
        <v>0</v>
      </c>
      <c r="J42">
        <v>-13</v>
      </c>
      <c r="L42" s="30" t="str">
        <f t="array" ref="L42">IFERROR(INDEX(Tabelle2[Höhe],LARGE((Tabelle2[Randbedingungen]=$L$29)*(ROW(Tabelle2[Randbedingungen])-2),COUNTIF(Tabelle2[Randbedingungen],$L$29)+1-ROW(A13))),"")</f>
        <v/>
      </c>
      <c r="M42" s="30">
        <v>1</v>
      </c>
      <c r="N42" s="130"/>
    </row>
    <row r="43" spans="2:14" x14ac:dyDescent="0.25">
      <c r="B43" s="69">
        <f>IF((Selector!$B$19+J43-15-$L$2)*-1-$B$25&gt;=-2,(Selector!$B$19+J43-15-$L$2)*-1-$B$25,"-")</f>
        <v>24</v>
      </c>
      <c r="C43" s="68">
        <f t="shared" si="0"/>
        <v>0</v>
      </c>
      <c r="D43" s="67">
        <f>IF((Selector!$B$19+J43-15-$L$2)*-1-$D$25&gt;=-2,(Selector!$B$19+J43-15-$L$2)*-1-$D$25,"-")</f>
        <v>27</v>
      </c>
      <c r="E43" s="68">
        <f t="shared" si="1"/>
        <v>0</v>
      </c>
      <c r="F43" s="67">
        <f>IF((Selector!$B$19+J43-15-$L$2)*-1-$F$25&gt;=-2,(Selector!$B$19+J43-15-$L$2)*-1-$F$25,"-")</f>
        <v>17.5</v>
      </c>
      <c r="G43" s="68">
        <f t="shared" si="2"/>
        <v>0</v>
      </c>
      <c r="H43" s="67">
        <f>IF((Selector!$B$19+J43-15-$L$2)*-1-$H$25&gt;=-2,(Selector!$B$19+J43-15-$L$2)*-1-$H$25,"-")</f>
        <v>8</v>
      </c>
      <c r="I43" s="68">
        <f t="shared" si="3"/>
        <v>0</v>
      </c>
      <c r="J43">
        <v>-14</v>
      </c>
      <c r="L43" s="30" t="str">
        <f t="array" ref="L43">IFERROR(INDEX(Tabelle2[Höhe],LARGE((Tabelle2[Randbedingungen]=$L$29)*(ROW(Tabelle2[Randbedingungen])-2),COUNTIF(Tabelle2[Randbedingungen],$L$29)+1-ROW(A14))),"")</f>
        <v/>
      </c>
      <c r="M43" s="30">
        <v>1</v>
      </c>
      <c r="N43" s="130"/>
    </row>
    <row r="44" spans="2:14" x14ac:dyDescent="0.25">
      <c r="B44" s="69">
        <f>IF((Selector!$B$19+J44-15-$L$2)*-1-$B$25&gt;=-2,(Selector!$B$19+J44-15-$L$2)*-1-$B$25,"-")</f>
        <v>25</v>
      </c>
      <c r="C44" s="68">
        <f t="shared" si="0"/>
        <v>0</v>
      </c>
      <c r="D44" s="67">
        <f>IF((Selector!$B$19+J44-15-$L$2)*-1-$D$25&gt;=-2,(Selector!$B$19+J44-15-$L$2)*-1-$D$25,"-")</f>
        <v>28</v>
      </c>
      <c r="E44" s="68">
        <f t="shared" si="1"/>
        <v>0</v>
      </c>
      <c r="F44" s="67">
        <f>IF((Selector!$B$19+J44-15-$L$2)*-1-$F$25&gt;=-2,(Selector!$B$19+J44-15-$L$2)*-1-$F$25,"-")</f>
        <v>18.5</v>
      </c>
      <c r="G44" s="68">
        <f t="shared" si="2"/>
        <v>0</v>
      </c>
      <c r="H44" s="67">
        <f>IF((Selector!$B$19+J44-15-$L$2)*-1-$H$25&gt;=-2,(Selector!$B$19+J44-15-$L$2)*-1-$H$25,"-")</f>
        <v>9</v>
      </c>
      <c r="I44" s="68">
        <f t="shared" si="3"/>
        <v>0</v>
      </c>
      <c r="J44">
        <v>-15</v>
      </c>
      <c r="L44" s="30" t="str">
        <f t="array" ref="L44">IFERROR(INDEX(Tabelle2[Höhe],LARGE((Tabelle2[Randbedingungen]=$L$29)*(ROW(Tabelle2[Randbedingungen])-2),COUNTIF(Tabelle2[Randbedingungen],$L$29)+1-ROW(A15))),"")</f>
        <v/>
      </c>
      <c r="M44" s="30">
        <v>1</v>
      </c>
      <c r="N44" s="130"/>
    </row>
    <row r="45" spans="2:14" x14ac:dyDescent="0.25">
      <c r="B45" s="69">
        <f>IF((Selector!$B$19+J45-15-$L$2)*-1-$B$25&gt;=-2,(Selector!$B$19+J45-15-$L$2)*-1-$B$25,"-")</f>
        <v>26</v>
      </c>
      <c r="C45" s="68">
        <f t="shared" si="0"/>
        <v>0</v>
      </c>
      <c r="D45" s="67">
        <f>IF((Selector!$B$19+J45-15-$L$2)*-1-$D$25&gt;=-2,(Selector!$B$19+J45-15-$L$2)*-1-$D$25,"-")</f>
        <v>29</v>
      </c>
      <c r="E45" s="68">
        <f t="shared" si="1"/>
        <v>0</v>
      </c>
      <c r="F45" s="67">
        <f>IF((Selector!$B$19+J45-15-$L$2)*-1-$F$25&gt;=-2,(Selector!$B$19+J45-15-$L$2)*-1-$F$25,"-")</f>
        <v>19.5</v>
      </c>
      <c r="G45" s="68">
        <f t="shared" si="2"/>
        <v>0</v>
      </c>
      <c r="H45" s="67">
        <f>IF((Selector!$B$19+J45-15-$L$2)*-1-$H$25&gt;=-2,(Selector!$B$19+J45-15-$L$2)*-1-$H$25,"-")</f>
        <v>10</v>
      </c>
      <c r="I45" s="68">
        <f t="shared" si="3"/>
        <v>0</v>
      </c>
      <c r="J45">
        <v>-16</v>
      </c>
      <c r="L45" s="30" t="str">
        <f t="array" ref="L45">IFERROR(INDEX(Tabelle2[Höhe],LARGE((Tabelle2[Randbedingungen]=$L$29)*(ROW(Tabelle2[Randbedingungen])-2),COUNTIF(Tabelle2[Randbedingungen],$L$29)+1-ROW(A16))),"")</f>
        <v/>
      </c>
      <c r="M45" s="30">
        <v>1</v>
      </c>
      <c r="N45" s="130"/>
    </row>
    <row r="46" spans="2:14" x14ac:dyDescent="0.25">
      <c r="B46" s="69">
        <f>IF((Selector!$B$19+J46-15-$L$2)*-1-$B$25&gt;=-2,(Selector!$B$19+J46-15-$L$2)*-1-$B$25,"-")</f>
        <v>27</v>
      </c>
      <c r="C46" s="68">
        <f t="shared" si="0"/>
        <v>0</v>
      </c>
      <c r="D46" s="67">
        <f>IF((Selector!$B$19+J46-15-$L$2)*-1-$D$25&gt;=-2,(Selector!$B$19+J46-15-$L$2)*-1-$D$25,"-")</f>
        <v>30</v>
      </c>
      <c r="E46" s="68">
        <f t="shared" si="1"/>
        <v>0</v>
      </c>
      <c r="F46" s="67">
        <f>IF((Selector!$B$19+J46-15-$L$2)*-1-$F$25&gt;=-2,(Selector!$B$19+J46-15-$L$2)*-1-$F$25,"-")</f>
        <v>20.5</v>
      </c>
      <c r="G46" s="68">
        <f t="shared" si="2"/>
        <v>0</v>
      </c>
      <c r="H46" s="67">
        <f>IF((Selector!$B$19+J46-15-$L$2)*-1-$H$25&gt;=-2,(Selector!$B$19+J46-15-$L$2)*-1-$H$25,"-")</f>
        <v>11</v>
      </c>
      <c r="I46" s="68">
        <f t="shared" si="3"/>
        <v>0</v>
      </c>
      <c r="J46">
        <v>-17</v>
      </c>
      <c r="L46" s="30" t="str">
        <f t="array" ref="L46">IFERROR(INDEX(Tabelle2[Höhe],LARGE((Tabelle2[Randbedingungen]=$L$29)*(ROW(Tabelle2[Randbedingungen])-2),COUNTIF(Tabelle2[Randbedingungen],$L$29)+1-ROW(A17))),"")</f>
        <v/>
      </c>
      <c r="M46" s="30">
        <v>1</v>
      </c>
      <c r="N46" s="130"/>
    </row>
    <row r="47" spans="2:14" x14ac:dyDescent="0.25">
      <c r="B47" s="69">
        <f>IF((Selector!$B$19+J47-15-$L$2)*-1-$B$25&gt;=-2,(Selector!$B$19+J47-15-$L$2)*-1-$B$25,"-")</f>
        <v>28</v>
      </c>
      <c r="C47" s="68">
        <f t="shared" si="0"/>
        <v>0</v>
      </c>
      <c r="D47" s="67">
        <f>IF((Selector!$B$19+J47-15-$L$2)*-1-$D$25&gt;=-2,(Selector!$B$19+J47-15-$L$2)*-1-$D$25,"-")</f>
        <v>31</v>
      </c>
      <c r="E47" s="68">
        <f t="shared" si="1"/>
        <v>0</v>
      </c>
      <c r="F47" s="67">
        <f>IF((Selector!$B$19+J47-15-$L$2)*-1-$F$25&gt;=-2,(Selector!$B$19+J47-15-$L$2)*-1-$F$25,"-")</f>
        <v>21.5</v>
      </c>
      <c r="G47" s="68">
        <f t="shared" si="2"/>
        <v>0</v>
      </c>
      <c r="H47" s="67">
        <f>IF((Selector!$B$19+J47-15-$L$2)*-1-$H$25&gt;=-2,(Selector!$B$19+J47-15-$L$2)*-1-$H$25,"-")</f>
        <v>12</v>
      </c>
      <c r="I47" s="68">
        <f t="shared" si="3"/>
        <v>0</v>
      </c>
      <c r="J47">
        <v>-18</v>
      </c>
      <c r="L47" s="30" t="str">
        <f t="array" ref="L47">IFERROR(INDEX(Tabelle2[Höhe],LARGE((Tabelle2[Randbedingungen]=$L$29)*(ROW(Tabelle2[Randbedingungen])-2),COUNTIF(Tabelle2[Randbedingungen],$L$29)+1-ROW(A18))),"")</f>
        <v/>
      </c>
      <c r="M47" s="30">
        <v>1</v>
      </c>
      <c r="N47" s="130"/>
    </row>
    <row r="48" spans="2:14" x14ac:dyDescent="0.25">
      <c r="B48" s="69">
        <f>IF((Selector!$B$19+J48-15-$L$2)*-1-$B$25&gt;=-2,(Selector!$B$19+J48-15-$L$2)*-1-$B$25,"-")</f>
        <v>29</v>
      </c>
      <c r="C48" s="68">
        <f t="shared" si="0"/>
        <v>0</v>
      </c>
      <c r="D48" s="67">
        <f>IF((Selector!$B$19+J48-15-$L$2)*-1-$D$25&gt;=-2,(Selector!$B$19+J48-15-$L$2)*-1-$D$25,"-")</f>
        <v>32</v>
      </c>
      <c r="E48" s="68">
        <f t="shared" si="1"/>
        <v>0</v>
      </c>
      <c r="F48" s="67">
        <f>IF((Selector!$B$19+J48-15-$L$2)*-1-$F$25&gt;=-2,(Selector!$B$19+J48-15-$L$2)*-1-$F$25,"-")</f>
        <v>22.5</v>
      </c>
      <c r="G48" s="68">
        <f t="shared" si="2"/>
        <v>0</v>
      </c>
      <c r="H48" s="67">
        <f>IF((Selector!$B$19+J48-15-$L$2)*-1-$H$25&gt;=-2,(Selector!$B$19+J48-15-$L$2)*-1-$H$25,"-")</f>
        <v>13</v>
      </c>
      <c r="I48" s="68">
        <f t="shared" si="3"/>
        <v>0</v>
      </c>
      <c r="J48">
        <v>-19</v>
      </c>
      <c r="L48" s="30" t="str">
        <f t="array" ref="L48">IFERROR(INDEX(Tabelle2[Höhe],LARGE((Tabelle2[Randbedingungen]=$L$29)*(ROW(Tabelle2[Randbedingungen])-2),COUNTIF(Tabelle2[Randbedingungen],$L$29)+1-ROW(A19))),"")</f>
        <v/>
      </c>
      <c r="M48" s="30">
        <v>1</v>
      </c>
      <c r="N48" s="130"/>
    </row>
    <row r="49" spans="1:14" x14ac:dyDescent="0.25">
      <c r="B49" s="69">
        <f>IF((Selector!$B$19+J49-15-$L$2)*-1-$B$25&gt;=-2,(Selector!$B$19+J49-15-$L$2)*-1-$B$25,"-")</f>
        <v>30</v>
      </c>
      <c r="C49" s="68">
        <f t="shared" si="0"/>
        <v>0</v>
      </c>
      <c r="D49" s="67">
        <f>IF((Selector!$B$19+J49-15-$L$2)*-1-$D$25&gt;=-2,(Selector!$B$19+J49-15-$L$2)*-1-$D$25,"-")</f>
        <v>33</v>
      </c>
      <c r="E49" s="68">
        <f t="shared" si="1"/>
        <v>0</v>
      </c>
      <c r="F49" s="67">
        <f>IF((Selector!$B$19+J49-15-$L$2)*-1-$F$25&gt;=-2,(Selector!$B$19+J49-15-$L$2)*-1-$F$25,"-")</f>
        <v>23.5</v>
      </c>
      <c r="G49" s="68">
        <f t="shared" si="2"/>
        <v>0</v>
      </c>
      <c r="H49" s="67">
        <f>IF((Selector!$B$19+J49-15-$L$2)*-1-$H$25&gt;=-2,(Selector!$B$19+J49-15-$L$2)*-1-$H$25,"-")</f>
        <v>14</v>
      </c>
      <c r="I49" s="68">
        <f t="shared" si="3"/>
        <v>0</v>
      </c>
      <c r="J49">
        <v>-20</v>
      </c>
      <c r="L49" s="30" t="str">
        <f t="array" ref="L49">IFERROR(INDEX(Tabelle2[Höhe],LARGE((Tabelle2[Randbedingungen]=$L$29)*(ROW(Tabelle2[Randbedingungen])-2),COUNTIF(Tabelle2[Randbedingungen],$L$29)+1-ROW(A20))),"")</f>
        <v/>
      </c>
      <c r="M49" s="30">
        <v>1</v>
      </c>
      <c r="N49" s="130"/>
    </row>
    <row r="50" spans="1:14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L50" s="30" t="str">
        <f t="array" ref="L50">IFERROR(INDEX(Tabelle2[Höhe],LARGE((Tabelle2[Randbedingungen]=$L$29)*(ROW(Tabelle2[Randbedingungen])-2),COUNTIF(Tabelle2[Randbedingungen],$L$29)+1-ROW(A21))),"")</f>
        <v/>
      </c>
      <c r="M50" s="30">
        <v>1</v>
      </c>
      <c r="N50" s="130"/>
    </row>
    <row r="51" spans="1:14" x14ac:dyDescent="0.25">
      <c r="A51" s="5">
        <f>IFERROR(LARGE(C51:I51,1),"-")</f>
        <v>-6</v>
      </c>
      <c r="C51" s="52" t="str">
        <f>IFERROR(VLOOKUP(L29,C30:J49,8,FALSE),"")</f>
        <v/>
      </c>
      <c r="E51" s="52" t="str">
        <f>IFERROR(VLOOKUP(L29,E30:J49,6,FALSE),"")</f>
        <v/>
      </c>
      <c r="G51" s="52" t="str">
        <f>IFERROR(VLOOKUP(L29,G30:J49,4,FALSE),"")</f>
        <v/>
      </c>
      <c r="I51" s="52">
        <f>IFERROR(VLOOKUP(L29,I30:J49,2,FALSE),"")</f>
        <v>-6</v>
      </c>
      <c r="L51" s="30" t="str">
        <f t="array" ref="L51">IFERROR(INDEX(Tabelle2[Höhe],LARGE((Tabelle2[Randbedingungen]=$L$29)*(ROW(Tabelle2[Randbedingungen])-2),COUNTIF(Tabelle2[Randbedingungen],$L$29)+1-ROW(A22))),"")</f>
        <v/>
      </c>
      <c r="M51" s="30">
        <v>1</v>
      </c>
      <c r="N51" s="130"/>
    </row>
    <row r="52" spans="1:14" x14ac:dyDescent="0.25">
      <c r="L52" s="30" t="str">
        <f t="array" ref="L52">IFERROR(INDEX(Tabelle2[Höhe],LARGE((Tabelle2[Randbedingungen]=$L$29)*(ROW(Tabelle2[Randbedingungen])-2),COUNTIF(Tabelle2[Randbedingungen],$L$29)+1-ROW(A23))),"")</f>
        <v/>
      </c>
      <c r="M52" s="30">
        <v>1</v>
      </c>
      <c r="N52" s="130"/>
    </row>
    <row r="53" spans="1:14" x14ac:dyDescent="0.25">
      <c r="B53" s="40">
        <f>IF((Selector!$B$19+J53-15-$L$2)*-1-$B$25&gt;=-2,(Selector!$B$19+J53-15-$L$2)*-1-$B$25,"")</f>
        <v>10</v>
      </c>
      <c r="C53" s="53">
        <f>Tabelle2[[#Totals],[Kröpfung 3]]</f>
        <v>0</v>
      </c>
      <c r="D53" s="11">
        <f>IF((Selector!$B$19+J53-15-$L$2)*-1-$D$25&gt;=-2,(Selector!$B$19+J53-15-$L$2)*-1-$D$25,"")</f>
        <v>13</v>
      </c>
      <c r="E53" s="53">
        <f>Tabelle2[[#Totals],[Kröpfung 0]]</f>
        <v>0</v>
      </c>
      <c r="F53" s="67">
        <f>IF((Selector!$B$19+J53-15-$L$2)*-1-$F$25&gt;=-2,(Selector!$B$19+J53-15-$L$2)*-1-$F$25,"")</f>
        <v>3.5</v>
      </c>
      <c r="G53" s="53">
        <f>Tabelle2[[#Totals],[Kröpfung 9,5]]</f>
        <v>1</v>
      </c>
      <c r="H53" s="11" t="str">
        <f>IF((Selector!$B$19+J53-15-$L$2)*-1-$H$25&gt;=-2,(Selector!$B$19+J53-15-$L$2)*-1-$H$25,"")</f>
        <v/>
      </c>
      <c r="I53" s="54">
        <f>Tabelle2[[#Totals],[Kröpfung 19]]</f>
        <v>0</v>
      </c>
      <c r="J53">
        <v>0</v>
      </c>
      <c r="L53" s="30" t="str">
        <f t="array" ref="L53">IFERROR(INDEX(Tabelle2[Höhe],LARGE((Tabelle2[Randbedingungen]=$L$29)*(ROW(Tabelle2[Randbedingungen])-2),COUNTIF(Tabelle2[Randbedingungen],$L$29)+1-ROW(A24))),"")</f>
        <v/>
      </c>
      <c r="M53" s="30">
        <v>1</v>
      </c>
      <c r="N53" s="130"/>
    </row>
    <row r="54" spans="1:14" x14ac:dyDescent="0.25">
      <c r="B54" s="69">
        <f>IF((Selector!$B$19+J54-15-$L$2)*-1-$B$25&gt;=-2,(Selector!$B$19+J54-15-$L$2)*-1-$B$25,"-")</f>
        <v>9</v>
      </c>
      <c r="C54" s="68">
        <f>IFERROR(VLOOKUP(B54,$L$30:$M$73,2,FALSE),0)</f>
        <v>0</v>
      </c>
      <c r="D54" s="67">
        <f>IF((Selector!$B$19+J54-15-$L$2)*-1-$D$25&gt;=-2,(Selector!$B$19+J54-15-$L$2)*-1-$D$25,"-")</f>
        <v>12</v>
      </c>
      <c r="E54" s="68">
        <f>IFERROR(VLOOKUP(D54,$L$30:$M$73,2,FALSE),0)</f>
        <v>0</v>
      </c>
      <c r="F54" s="67">
        <f>IF((Selector!$B$19+J54-15-$L$2)*-1-$F$25&gt;=-2,(Selector!$B$19+J54-15-$L$2)*-1-$F$25,"-")</f>
        <v>2.5</v>
      </c>
      <c r="G54" s="52">
        <f>IFERROR(VLOOKUP(F54,$L$30:$M$73,2,FALSE),0)</f>
        <v>0</v>
      </c>
      <c r="H54" s="67" t="str">
        <f>IF((Selector!$B$19+J54-15-$L$2)*-1-$H$25&gt;=-2,(Selector!$B$19+J54-15-$L$2)*-1-$H$25,"-")</f>
        <v>-</v>
      </c>
      <c r="I54" s="52">
        <f>IFERROR(VLOOKUP(H54,$L$30:$M$73,2,FALSE),0)</f>
        <v>0</v>
      </c>
      <c r="J54">
        <v>1</v>
      </c>
      <c r="L54" s="30" t="str">
        <f t="array" ref="L54">IFERROR(INDEX(Tabelle2[Höhe],LARGE((Tabelle2[Randbedingungen]=$L$29)*(ROW(Tabelle2[Randbedingungen])-2),COUNTIF(Tabelle2[Randbedingungen],$L$29)+1-ROW(B25))),"")</f>
        <v/>
      </c>
      <c r="M54" s="30">
        <v>1</v>
      </c>
      <c r="N54" s="130"/>
    </row>
    <row r="55" spans="1:14" x14ac:dyDescent="0.25">
      <c r="B55" s="69">
        <f>IF((Selector!$B$19+J55-15-$L$2)*-1-$B$25&gt;=-2,(Selector!$B$19+J55-15-$L$2)*-1-$B$25,"-")</f>
        <v>8</v>
      </c>
      <c r="C55" s="68">
        <f t="shared" ref="C55:C73" si="4">IFERROR(VLOOKUP(B55,$L$30:$M$73,2,FALSE),0)</f>
        <v>0</v>
      </c>
      <c r="D55" s="67">
        <f>IF((Selector!$B$19+J55-15-$L$2)*-1-$D$25&gt;=-2,(Selector!$B$19+J55-15-$L$2)*-1-$D$25,"-")</f>
        <v>11</v>
      </c>
      <c r="E55" s="68">
        <f t="shared" ref="E55:E73" si="5">IFERROR(VLOOKUP(D55,$L$30:$M$73,2,FALSE),0)</f>
        <v>0</v>
      </c>
      <c r="F55" s="67">
        <f>IF((Selector!$B$19+J55-15-$L$2)*-1-$F$25&gt;=-2,(Selector!$B$19+J55-15-$L$2)*-1-$F$25,"-")</f>
        <v>1.5</v>
      </c>
      <c r="G55" s="52">
        <f t="shared" ref="G55:G73" si="6">IFERROR(VLOOKUP(F55,$L$30:$M$73,2,FALSE),0)</f>
        <v>0</v>
      </c>
      <c r="H55" s="67" t="str">
        <f>IF((Selector!$B$19+J55-15-$L$2)*-1-$H$25&gt;=-2,(Selector!$B$19+J55-15-$L$2)*-1-$H$25,"-")</f>
        <v>-</v>
      </c>
      <c r="I55" s="52">
        <f t="shared" ref="I55:I73" si="7">IFERROR(VLOOKUP(H55,$L$30:$M$73,2,FALSE),0)</f>
        <v>0</v>
      </c>
      <c r="J55">
        <v>2</v>
      </c>
      <c r="L55" s="30" t="str">
        <f t="array" ref="L55">IFERROR(INDEX(Tabelle2[Höhe],LARGE((Tabelle2[Randbedingungen]=$L$29)*(ROW(Tabelle2[Randbedingungen])-2),COUNTIF(Tabelle2[Randbedingungen],$L$29)+1-ROW(A26))),"")</f>
        <v/>
      </c>
      <c r="M55" s="30">
        <v>1</v>
      </c>
      <c r="N55" s="130"/>
    </row>
    <row r="56" spans="1:14" x14ac:dyDescent="0.25">
      <c r="B56" s="69">
        <f>IF((Selector!$B$19+J56-15-$L$2)*-1-$B$25&gt;=-2,(Selector!$B$19+J56-15-$L$2)*-1-$B$25,"-")</f>
        <v>7</v>
      </c>
      <c r="C56" s="68">
        <f t="shared" si="4"/>
        <v>0</v>
      </c>
      <c r="D56" s="67">
        <f>IF((Selector!$B$19+J56-15-$L$2)*-1-$D$25&gt;=-2,(Selector!$B$19+J56-15-$L$2)*-1-$D$25,"-")</f>
        <v>10</v>
      </c>
      <c r="E56" s="68">
        <f t="shared" si="5"/>
        <v>0</v>
      </c>
      <c r="F56" s="67">
        <f>IF((Selector!$B$19+J56-15-$L$2)*-1-$F$25&gt;=-2,(Selector!$B$19+J56-15-$L$2)*-1-$F$25,"-")</f>
        <v>0.5</v>
      </c>
      <c r="G56" s="52">
        <f t="shared" si="6"/>
        <v>0</v>
      </c>
      <c r="H56" s="67" t="str">
        <f>IF((Selector!$B$19+J56-15-$L$2)*-1-$H$25&gt;=-2,(Selector!$B$19+J56-15-$L$2)*-1-$H$25,"-")</f>
        <v>-</v>
      </c>
      <c r="I56" s="52">
        <f t="shared" si="7"/>
        <v>0</v>
      </c>
      <c r="J56">
        <v>3</v>
      </c>
      <c r="L56" s="30" t="str">
        <f t="array" ref="L56">IFERROR(INDEX(Tabelle2[Höhe],LARGE((Tabelle2[Randbedingungen]=$L$29)*(ROW(Tabelle2[Randbedingungen])-2),COUNTIF(Tabelle2[Randbedingungen],$L$29)+1-ROW(A27))),"")</f>
        <v/>
      </c>
      <c r="M56" s="30">
        <v>1</v>
      </c>
      <c r="N56" s="130"/>
    </row>
    <row r="57" spans="1:14" x14ac:dyDescent="0.25">
      <c r="B57" s="69">
        <f>IF((Selector!$B$19+J57-15-$L$2)*-1-$B$25&gt;=-2,(Selector!$B$19+J57-15-$L$2)*-1-$B$25,"-")</f>
        <v>6</v>
      </c>
      <c r="C57" s="68">
        <f t="shared" si="4"/>
        <v>0</v>
      </c>
      <c r="D57" s="67">
        <f>IF((Selector!$B$19+J57-15-$L$2)*-1-$D$25&gt;=-2,(Selector!$B$19+J57-15-$L$2)*-1-$D$25,"-")</f>
        <v>9</v>
      </c>
      <c r="E57" s="68">
        <f t="shared" si="5"/>
        <v>0</v>
      </c>
      <c r="F57" s="67">
        <f>IF((Selector!$B$19+J57-15-$L$2)*-1-$F$25&gt;=-2,(Selector!$B$19+J57-15-$L$2)*-1-$F$25,"-")</f>
        <v>-0.5</v>
      </c>
      <c r="G57" s="52">
        <f t="shared" si="6"/>
        <v>0</v>
      </c>
      <c r="H57" s="67" t="str">
        <f>IF((Selector!$B$19+J57-15-$L$2)*-1-$H$25&gt;=-2,(Selector!$B$19+J57-15-$L$2)*-1-$H$25,"-")</f>
        <v>-</v>
      </c>
      <c r="I57" s="52">
        <f t="shared" si="7"/>
        <v>0</v>
      </c>
      <c r="J57">
        <v>4</v>
      </c>
      <c r="L57" s="30" t="str">
        <f t="array" ref="L57">IFERROR(INDEX(Tabelle2[Höhe],LARGE((Tabelle2[Randbedingungen]=$L$29)*(ROW(Tabelle2[Randbedingungen])-2),COUNTIF(Tabelle2[Randbedingungen],$L$29)+1-ROW(B28))),"")</f>
        <v/>
      </c>
      <c r="M57" s="30">
        <v>1</v>
      </c>
      <c r="N57" s="130"/>
    </row>
    <row r="58" spans="1:14" x14ac:dyDescent="0.25">
      <c r="B58" s="69">
        <f>IF((Selector!$B$19+J58-15-$L$2)*-1-$B$25&gt;=-2,(Selector!$B$19+J58-15-$L$2)*-1-$B$25,"-")</f>
        <v>5</v>
      </c>
      <c r="C58" s="68">
        <f t="shared" si="4"/>
        <v>0</v>
      </c>
      <c r="D58" s="67">
        <f>IF((Selector!$B$19+J58-15-$L$2)*-1-$D$25&gt;=-2,(Selector!$B$19+J58-15-$L$2)*-1-$D$25,"-")</f>
        <v>8</v>
      </c>
      <c r="E58" s="68">
        <f t="shared" si="5"/>
        <v>0</v>
      </c>
      <c r="F58" s="67">
        <f>IF((Selector!$B$19+J58-15-$L$2)*-1-$F$25&gt;=-2,(Selector!$B$19+J58-15-$L$2)*-1-$F$25,"-")</f>
        <v>-1.5</v>
      </c>
      <c r="G58" s="52">
        <f t="shared" si="6"/>
        <v>0</v>
      </c>
      <c r="H58" s="67" t="str">
        <f>IF((Selector!$B$19+J58-15-$L$2)*-1-$H$25&gt;=-2,(Selector!$B$19+J58-15-$L$2)*-1-$H$25,"-")</f>
        <v>-</v>
      </c>
      <c r="I58" s="52">
        <f t="shared" si="7"/>
        <v>0</v>
      </c>
      <c r="J58">
        <v>5</v>
      </c>
      <c r="L58" s="30" t="str">
        <f t="array" ref="L58">IFERROR(INDEX(Tabelle2[Höhe],LARGE((Tabelle2[Randbedingungen]=$L$29)*(ROW(Tabelle2[Randbedingungen])-2),COUNTIF(Tabelle2[Randbedingungen],$L$29)+1-ROW(B30))),"")</f>
        <v/>
      </c>
      <c r="M58" s="30">
        <v>1</v>
      </c>
      <c r="N58" s="130"/>
    </row>
    <row r="59" spans="1:14" x14ac:dyDescent="0.25">
      <c r="B59" s="69">
        <f>IF((Selector!$B$19+J59-15-$L$2)*-1-$B$25&gt;=-2,(Selector!$B$19+J59-15-$L$2)*-1-$B$25,"-")</f>
        <v>4</v>
      </c>
      <c r="C59" s="68">
        <f t="shared" si="4"/>
        <v>0</v>
      </c>
      <c r="D59" s="67">
        <f>IF((Selector!$B$19+J59-15-$L$2)*-1-$D$25&gt;=-2,(Selector!$B$19+J59-15-$L$2)*-1-$D$25,"-")</f>
        <v>7</v>
      </c>
      <c r="E59" s="68">
        <f t="shared" si="5"/>
        <v>0</v>
      </c>
      <c r="F59" s="67" t="str">
        <f>IF((Selector!$B$19+J59-15-$L$2)*-1-$F$25&gt;=-2,(Selector!$B$19+J59-15-$L$2)*-1-$F$25,"-")</f>
        <v>-</v>
      </c>
      <c r="G59" s="52">
        <f t="shared" si="6"/>
        <v>0</v>
      </c>
      <c r="H59" s="67" t="str">
        <f>IF((Selector!$B$19+J59-15-$L$2)*-1-$H$25&gt;=-2,(Selector!$B$19+J59-15-$L$2)*-1-$H$25,"-")</f>
        <v>-</v>
      </c>
      <c r="I59" s="52">
        <f t="shared" si="7"/>
        <v>0</v>
      </c>
      <c r="J59">
        <v>6</v>
      </c>
      <c r="L59" s="30" t="str">
        <f t="array" ref="L59">IFERROR(INDEX(Tabelle2[Höhe],LARGE((Tabelle2[Randbedingungen]=$L$29)*(ROW(Tabelle2[Randbedingungen])-2),COUNTIF(Tabelle2[Randbedingungen],$L$29)+1-ROW(B31))),"")</f>
        <v/>
      </c>
      <c r="M59" s="30">
        <v>1</v>
      </c>
      <c r="N59" s="130"/>
    </row>
    <row r="60" spans="1:14" x14ac:dyDescent="0.25">
      <c r="B60" s="69">
        <f>IF((Selector!$B$19+J60-15-$L$2)*-1-$B$25&gt;=-2,(Selector!$B$19+J60-15-$L$2)*-1-$B$25,"-")</f>
        <v>3</v>
      </c>
      <c r="C60" s="68">
        <f>IFERROR(VLOOKUP(B60,$L$30:$M$73,2,FALSE),0)</f>
        <v>1</v>
      </c>
      <c r="D60" s="67">
        <f>IF((Selector!$B$19+J60-15-$L$2)*-1-$D$25&gt;=-2,(Selector!$B$19+J60-15-$L$2)*-1-$D$25,"-")</f>
        <v>6</v>
      </c>
      <c r="E60" s="68">
        <f t="shared" si="5"/>
        <v>0</v>
      </c>
      <c r="F60" s="67" t="str">
        <f>IF((Selector!$B$19+J60-15-$L$2)*-1-$F$25&gt;=-2,(Selector!$B$19+J60-15-$L$2)*-1-$F$25,"-")</f>
        <v>-</v>
      </c>
      <c r="G60" s="52">
        <f t="shared" si="6"/>
        <v>0</v>
      </c>
      <c r="H60" s="67" t="str">
        <f>IF((Selector!$B$19+J60-15-$L$2)*-1-$H$25&gt;=-2,(Selector!$B$19+J60-15-$L$2)*-1-$H$25,"-")</f>
        <v>-</v>
      </c>
      <c r="I60" s="52">
        <f t="shared" si="7"/>
        <v>0</v>
      </c>
      <c r="J60">
        <v>7</v>
      </c>
      <c r="L60" s="30" t="str">
        <f t="array" ref="L60">IFERROR(INDEX(Tabelle2[Höhe],LARGE((Tabelle2[Randbedingungen]=$L$29)*(ROW(Tabelle2[Randbedingungen])-2),COUNTIF(Tabelle2[Randbedingungen],$L$29)+1-ROW(B32))),"")</f>
        <v/>
      </c>
      <c r="M60" s="30">
        <v>1</v>
      </c>
      <c r="N60" s="130"/>
    </row>
    <row r="61" spans="1:14" x14ac:dyDescent="0.25">
      <c r="B61" s="69">
        <f>IF((Selector!$B$19+J61-15-$L$2)*-1-$B$25&gt;=-2,(Selector!$B$19+J61-15-$L$2)*-1-$B$25,"-")</f>
        <v>2</v>
      </c>
      <c r="C61" s="68">
        <f t="shared" si="4"/>
        <v>1</v>
      </c>
      <c r="D61" s="67">
        <f>IF((Selector!$B$19+J61-15-$L$2)*-1-$D$25&gt;=-2,(Selector!$B$19+J61-15-$L$2)*-1-$D$25,"-")</f>
        <v>5</v>
      </c>
      <c r="E61" s="68">
        <f t="shared" si="5"/>
        <v>0</v>
      </c>
      <c r="F61" s="67" t="str">
        <f>IF((Selector!$B$19+J61-15-$L$2)*-1-$F$25&gt;=-2,(Selector!$B$19+J61-15-$L$2)*-1-$F$25,"-")</f>
        <v>-</v>
      </c>
      <c r="G61" s="52">
        <f t="shared" si="6"/>
        <v>0</v>
      </c>
      <c r="H61" s="67" t="str">
        <f>IF((Selector!$B$19+J61-15-$L$2)*-1-$H$25&gt;=-2,(Selector!$B$19+J61-15-$L$2)*-1-$H$25,"-")</f>
        <v>-</v>
      </c>
      <c r="I61" s="52">
        <f t="shared" si="7"/>
        <v>0</v>
      </c>
      <c r="J61">
        <v>8</v>
      </c>
      <c r="L61" s="30" t="str">
        <f t="array" ref="L61">IFERROR(INDEX(Tabelle2[Höhe],LARGE((Tabelle2[Randbedingungen]=$L$29)*(ROW(Tabelle2[Randbedingungen])-2),COUNTIF(Tabelle2[Randbedingungen],$L$29)+1-ROW(B33))),"")</f>
        <v/>
      </c>
      <c r="M61" s="30">
        <v>1</v>
      </c>
      <c r="N61" s="130"/>
    </row>
    <row r="62" spans="1:14" x14ac:dyDescent="0.25">
      <c r="B62" s="69">
        <f>IF((Selector!$B$19+J62-15-$L$2)*-1-$B$25&gt;=-2,(Selector!$B$19+J62-15-$L$2)*-1-$B$25,"-")</f>
        <v>1</v>
      </c>
      <c r="C62" s="68">
        <f t="shared" si="4"/>
        <v>0</v>
      </c>
      <c r="D62" s="67">
        <f>IF((Selector!$B$19+J62-15-$L$2)*-1-$D$25&gt;=-2,(Selector!$B$19+J62-15-$L$2)*-1-$D$25,"-")</f>
        <v>4</v>
      </c>
      <c r="E62" s="68">
        <f t="shared" si="5"/>
        <v>0</v>
      </c>
      <c r="F62" s="67" t="str">
        <f>IF((Selector!$B$19+J62-15-$L$2)*-1-$F$25&gt;=-2,(Selector!$B$19+J62-15-$L$2)*-1-$F$25,"-")</f>
        <v>-</v>
      </c>
      <c r="G62" s="52">
        <f t="shared" si="6"/>
        <v>0</v>
      </c>
      <c r="H62" s="67" t="str">
        <f>IF((Selector!$B$19+J62-15-$L$2)*-1-$H$25&gt;=-2,(Selector!$B$19+J62-15-$L$2)*-1-$H$25,"-")</f>
        <v>-</v>
      </c>
      <c r="I62" s="52">
        <f t="shared" si="7"/>
        <v>0</v>
      </c>
      <c r="J62">
        <v>9</v>
      </c>
      <c r="L62" s="30" t="str">
        <f t="array" ref="L62">IFERROR(INDEX(Tabelle2[Höhe],LARGE((Tabelle2[Randbedingungen]=$L$29)*(ROW(Tabelle2[Randbedingungen])-2),COUNTIF(Tabelle2[Randbedingungen],$L$29)+1-ROW(B34))),"")</f>
        <v/>
      </c>
      <c r="M62" s="30">
        <v>1</v>
      </c>
      <c r="N62" s="130"/>
    </row>
    <row r="63" spans="1:14" x14ac:dyDescent="0.25">
      <c r="B63" s="69">
        <f>IF((Selector!$B$19+J63-15-$L$2)*-1-$B$25&gt;=-2,(Selector!$B$19+J63-15-$L$2)*-1-$B$25,"-")</f>
        <v>0</v>
      </c>
      <c r="C63" s="68">
        <f t="shared" si="4"/>
        <v>1</v>
      </c>
      <c r="D63" s="67">
        <f>IF((Selector!$B$19+J63-15-$L$2)*-1-$D$25&gt;=-2,(Selector!$B$19+J63-15-$L$2)*-1-$D$25,"-")</f>
        <v>3</v>
      </c>
      <c r="E63" s="68">
        <f>IFERROR(VLOOKUP(D63,$L$30:$M$73,2,FALSE),0)</f>
        <v>1</v>
      </c>
      <c r="F63" s="67" t="str">
        <f>IF((Selector!$B$19+J63-15-$L$2)*-1-$F$25&gt;=-2,(Selector!$B$19+J63-15-$L$2)*-1-$F$25,"-")</f>
        <v>-</v>
      </c>
      <c r="G63" s="52">
        <f t="shared" si="6"/>
        <v>0</v>
      </c>
      <c r="H63" s="67" t="str">
        <f>IF((Selector!$B$19+J63-15-$L$2)*-1-$H$25&gt;=-2,(Selector!$B$19+J63-15-$L$2)*-1-$H$25,"-")</f>
        <v>-</v>
      </c>
      <c r="I63" s="52">
        <f t="shared" si="7"/>
        <v>0</v>
      </c>
      <c r="J63">
        <v>10</v>
      </c>
      <c r="L63" s="30" t="str">
        <f t="array" ref="L63">IFERROR(INDEX(Tabelle2[Höhe],LARGE((Tabelle2[Randbedingungen]=$L$29)*(ROW(Tabelle2[Randbedingungen])-2),COUNTIF(Tabelle2[Randbedingungen],$L$29)+1-ROW(B35))),"")</f>
        <v/>
      </c>
      <c r="M63" s="30">
        <v>1</v>
      </c>
      <c r="N63" s="130"/>
    </row>
    <row r="64" spans="1:14" x14ac:dyDescent="0.25">
      <c r="B64" s="69">
        <f>IF((Selector!$B$19+J64-15-$L$2)*-1-$B$25&gt;=-2,(Selector!$B$19+J64-15-$L$2)*-1-$B$25,"-")</f>
        <v>-1</v>
      </c>
      <c r="C64" s="68">
        <f t="shared" si="4"/>
        <v>0</v>
      </c>
      <c r="D64" s="67">
        <f>IF((Selector!$B$19+J64-15-$L$2)*-1-$D$25&gt;=-2,(Selector!$B$19+J64-15-$L$2)*-1-$D$25,"-")</f>
        <v>2</v>
      </c>
      <c r="E64" s="68">
        <f t="shared" si="5"/>
        <v>1</v>
      </c>
      <c r="F64" s="67" t="str">
        <f>IF((Selector!$B$19+J64-15-$L$2)*-1-$F$25&gt;=-2,(Selector!$B$19+J64-15-$L$2)*-1-$F$25,"-")</f>
        <v>-</v>
      </c>
      <c r="G64" s="52">
        <f t="shared" si="6"/>
        <v>0</v>
      </c>
      <c r="H64" s="67" t="str">
        <f>IF((Selector!$B$19+J64-15-$L$2)*-1-$H$25&gt;=-2,(Selector!$B$19+J64-15-$L$2)*-1-$H$25,"-")</f>
        <v>-</v>
      </c>
      <c r="I64" s="52">
        <f t="shared" si="7"/>
        <v>0</v>
      </c>
      <c r="J64">
        <v>11</v>
      </c>
      <c r="L64" s="30" t="str">
        <f t="array" ref="L64">IFERROR(INDEX(Tabelle2[Höhe],LARGE((Tabelle2[Randbedingungen]=$L$29)*(ROW(Tabelle2[Randbedingungen])-2),COUNTIF(Tabelle2[Randbedingungen],$L$29)+1-ROW(B36))),"")</f>
        <v/>
      </c>
      <c r="M64" s="30">
        <v>1</v>
      </c>
      <c r="N64" s="130"/>
    </row>
    <row r="65" spans="1:14" x14ac:dyDescent="0.25">
      <c r="B65" s="69">
        <f>IF((Selector!$B$19+J65-15-$L$2)*-1-$B$25&gt;=-2,(Selector!$B$19+J65-15-$L$2)*-1-$B$25,"-")</f>
        <v>-2</v>
      </c>
      <c r="C65" s="68">
        <f t="shared" si="4"/>
        <v>0</v>
      </c>
      <c r="D65" s="67">
        <f>IF((Selector!$B$19+J65-15-$L$2)*-1-$D$25&gt;=-2,(Selector!$B$19+J65-15-$L$2)*-1-$D$25,"-")</f>
        <v>1</v>
      </c>
      <c r="E65" s="68">
        <f t="shared" si="5"/>
        <v>0</v>
      </c>
      <c r="F65" s="67" t="str">
        <f>IF((Selector!$B$19+J65-15-$L$2)*-1-$F$25&gt;=-2,(Selector!$B$19+J65-15-$L$2)*-1-$F$25,"-")</f>
        <v>-</v>
      </c>
      <c r="G65" s="52">
        <f t="shared" si="6"/>
        <v>0</v>
      </c>
      <c r="H65" s="67" t="str">
        <f>IF((Selector!$B$19+J65-15-$L$2)*-1-$H$25&gt;=-2,(Selector!$B$19+J65-15-$L$2)*-1-$H$25,"-")</f>
        <v>-</v>
      </c>
      <c r="I65" s="52">
        <f t="shared" si="7"/>
        <v>0</v>
      </c>
      <c r="J65">
        <v>12</v>
      </c>
      <c r="L65" s="30" t="str">
        <f t="array" ref="L65">IFERROR(INDEX(Tabelle2[Höhe],LARGE((Tabelle2[Randbedingungen]=$L$29)*(ROW(Tabelle2[Randbedingungen])-2),COUNTIF(Tabelle2[Randbedingungen],$L$29)+1-ROW(B37))),"")</f>
        <v/>
      </c>
      <c r="M65" s="30">
        <v>1</v>
      </c>
      <c r="N65" s="130"/>
    </row>
    <row r="66" spans="1:14" x14ac:dyDescent="0.25">
      <c r="B66" s="69" t="str">
        <f>IF((Selector!$B$19+J66-15-$L$2)*-1-$B$25&gt;=-2,(Selector!$B$19+J66-15-$L$2)*-1-$B$25,"-")</f>
        <v>-</v>
      </c>
      <c r="C66" s="68">
        <f t="shared" si="4"/>
        <v>0</v>
      </c>
      <c r="D66" s="67">
        <f>IF((Selector!$B$19+J66-15-$L$2)*-1-$D$25&gt;=-2,(Selector!$B$19+J66-15-$L$2)*-1-$D$25,"-")</f>
        <v>0</v>
      </c>
      <c r="E66" s="68">
        <f t="shared" si="5"/>
        <v>1</v>
      </c>
      <c r="F66" s="67" t="str">
        <f>IF((Selector!$B$19+J66-15-$L$2)*-1-$F$25&gt;=-2,(Selector!$B$19+J66-15-$L$2)*-1-$F$25,"-")</f>
        <v>-</v>
      </c>
      <c r="G66" s="52">
        <f t="shared" si="6"/>
        <v>0</v>
      </c>
      <c r="H66" s="67" t="str">
        <f>IF((Selector!$B$19+J66-15-$L$2)*-1-$H$25&gt;=-2,(Selector!$B$19+J66-15-$L$2)*-1-$H$25,"-")</f>
        <v>-</v>
      </c>
      <c r="I66" s="52">
        <f t="shared" si="7"/>
        <v>0</v>
      </c>
      <c r="J66">
        <v>13</v>
      </c>
      <c r="L66" s="30" t="str">
        <f t="array" ref="L66">IFERROR(INDEX(Tabelle2[Höhe],LARGE((Tabelle2[Randbedingungen]=$L$29)*(ROW(Tabelle2[Randbedingungen])-2),COUNTIF(Tabelle2[Randbedingungen],$L$29)+1-ROW(B38))),"")</f>
        <v/>
      </c>
      <c r="M66" s="30">
        <v>1</v>
      </c>
      <c r="N66" s="130"/>
    </row>
    <row r="67" spans="1:14" x14ac:dyDescent="0.25">
      <c r="B67" s="69" t="str">
        <f>IF((Selector!$B$19+J67-15-$L$2)*-1-$B$25&gt;=-2,(Selector!$B$19+J67-15-$L$2)*-1-$B$25,"-")</f>
        <v>-</v>
      </c>
      <c r="C67" s="68">
        <f t="shared" si="4"/>
        <v>0</v>
      </c>
      <c r="D67" s="67">
        <f>IF((Selector!$B$19+J67-15-$L$2)*-1-$D$25&gt;=-2,(Selector!$B$19+J67-15-$L$2)*-1-$D$25,"-")</f>
        <v>-1</v>
      </c>
      <c r="E67" s="68">
        <f t="shared" si="5"/>
        <v>0</v>
      </c>
      <c r="F67" s="67" t="str">
        <f>IF((Selector!$B$19+J67-15-$L$2)*-1-$F$25&gt;=-2,(Selector!$B$19+J67-15-$L$2)*-1-$F$25,"-")</f>
        <v>-</v>
      </c>
      <c r="G67" s="52">
        <f t="shared" si="6"/>
        <v>0</v>
      </c>
      <c r="H67" s="67" t="str">
        <f>IF((Selector!$B$19+J67-15-$L$2)*-1-$H$25&gt;=-2,(Selector!$B$19+J67-15-$L$2)*-1-$H$25,"-")</f>
        <v>-</v>
      </c>
      <c r="I67" s="52">
        <f t="shared" si="7"/>
        <v>0</v>
      </c>
      <c r="J67">
        <v>14</v>
      </c>
      <c r="L67" s="30" t="str">
        <f t="array" ref="L67">IFERROR(INDEX(Tabelle2[Höhe],LARGE((Tabelle2[Randbedingungen]=$L$29)*(ROW(Tabelle2[Randbedingungen])-2),COUNTIF(Tabelle2[Randbedingungen],$L$29)+1-ROW(B39))),"")</f>
        <v/>
      </c>
      <c r="M67" s="30">
        <v>1</v>
      </c>
      <c r="N67" s="130"/>
    </row>
    <row r="68" spans="1:14" x14ac:dyDescent="0.25">
      <c r="B68" s="69" t="str">
        <f>IF((Selector!$B$19+J68-15-$L$2)*-1-$B$25&gt;=-2,(Selector!$B$19+J68-15-$L$2)*-1-$B$25,"-")</f>
        <v>-</v>
      </c>
      <c r="C68" s="68">
        <f t="shared" si="4"/>
        <v>0</v>
      </c>
      <c r="D68" s="67">
        <f>IF((Selector!$B$19+J68-15-$L$2)*-1-$D$25&gt;=-2,(Selector!$B$19+J68-15-$L$2)*-1-$D$25,"-")</f>
        <v>-2</v>
      </c>
      <c r="E68" s="68">
        <f t="shared" si="5"/>
        <v>0</v>
      </c>
      <c r="F68" s="67" t="str">
        <f>IF((Selector!$B$19+J68-15-$L$2)*-1-$F$25&gt;=-2,(Selector!$B$19+J68-15-$L$2)*-1-$F$25,"-")</f>
        <v>-</v>
      </c>
      <c r="G68" s="52">
        <f t="shared" si="6"/>
        <v>0</v>
      </c>
      <c r="H68" s="67" t="str">
        <f>IF((Selector!$B$19+J68-15-$L$2)*-1-$H$25&gt;=-2,(Selector!$B$19+J68-15-$L$2)*-1-$H$25,"-")</f>
        <v>-</v>
      </c>
      <c r="I68" s="52">
        <f t="shared" si="7"/>
        <v>0</v>
      </c>
      <c r="J68">
        <v>15</v>
      </c>
      <c r="L68" s="30" t="str">
        <f t="array" ref="L68">IFERROR(INDEX(Tabelle2[Höhe],LARGE((Tabelle2[Randbedingungen]=$L$29)*(ROW(Tabelle2[Randbedingungen])-2),COUNTIF(Tabelle2[Randbedingungen],$L$29)+1-ROW(B40))),"")</f>
        <v/>
      </c>
      <c r="M68" s="30">
        <v>1</v>
      </c>
      <c r="N68" s="130"/>
    </row>
    <row r="69" spans="1:14" x14ac:dyDescent="0.25">
      <c r="B69" s="69" t="str">
        <f>IF((Selector!$B$19+J69-15-$L$2)*-1-$B$25&gt;=-2,(Selector!$B$19+J69-15-$L$2)*-1-$B$25,"-")</f>
        <v>-</v>
      </c>
      <c r="C69" s="68">
        <f t="shared" si="4"/>
        <v>0</v>
      </c>
      <c r="D69" s="67" t="str">
        <f>IF((Selector!$B$19+J69-15-$L$2)*-1-$D$25&gt;=-2,(Selector!$B$19+J69-15-$L$2)*-1-$D$25,"-")</f>
        <v>-</v>
      </c>
      <c r="E69" s="68">
        <f t="shared" si="5"/>
        <v>0</v>
      </c>
      <c r="F69" s="67" t="str">
        <f>IF((Selector!$B$19+J69-15-$L$2)*-1-$F$25&gt;=-2,(Selector!$B$19+J69-15-$L$2)*-1-$F$25,"-")</f>
        <v>-</v>
      </c>
      <c r="G69" s="52">
        <f t="shared" si="6"/>
        <v>0</v>
      </c>
      <c r="H69" s="67" t="str">
        <f>IF((Selector!$B$19+J69-15-$L$2)*-1-$H$25&gt;=-2,(Selector!$B$19+J69-15-$L$2)*-1-$H$25,"-")</f>
        <v>-</v>
      </c>
      <c r="I69" s="52">
        <f t="shared" si="7"/>
        <v>0</v>
      </c>
      <c r="J69">
        <v>16</v>
      </c>
      <c r="L69" s="30" t="str">
        <f t="array" ref="L69">IFERROR(INDEX(Tabelle2[Höhe],LARGE((Tabelle2[Randbedingungen]=$L$29)*(ROW(Tabelle2[Randbedingungen])-2),COUNTIF(Tabelle2[Randbedingungen],$L$29)+1-ROW(B41))),"")</f>
        <v/>
      </c>
      <c r="M69" s="30">
        <v>1</v>
      </c>
      <c r="N69" s="130"/>
    </row>
    <row r="70" spans="1:14" x14ac:dyDescent="0.25">
      <c r="B70" s="69" t="str">
        <f>IF((Selector!$B$19+J70-15-$L$2)*-1-$B$25&gt;=-2,(Selector!$B$19+J70-15-$L$2)*-1-$B$25,"-")</f>
        <v>-</v>
      </c>
      <c r="C70" s="68">
        <f t="shared" si="4"/>
        <v>0</v>
      </c>
      <c r="D70" s="67" t="str">
        <f>IF((Selector!$B$19+J70-15-$L$2)*-1-$D$25&gt;=-2,(Selector!$B$19+J70-15-$L$2)*-1-$D$25,"-")</f>
        <v>-</v>
      </c>
      <c r="E70" s="68">
        <f t="shared" si="5"/>
        <v>0</v>
      </c>
      <c r="F70" s="67" t="str">
        <f>IF((Selector!$B$19+J70-15-$L$2)*-1-$F$25&gt;=-2,(Selector!$B$19+J70-15-$L$2)*-1-$F$25,"-")</f>
        <v>-</v>
      </c>
      <c r="G70" s="52">
        <f t="shared" si="6"/>
        <v>0</v>
      </c>
      <c r="H70" s="67" t="str">
        <f>IF((Selector!$B$19+J70-15-$L$2)*-1-$H$25&gt;=-2,(Selector!$B$19+J70-15-$L$2)*-1-$H$25,"-")</f>
        <v>-</v>
      </c>
      <c r="I70" s="52">
        <f t="shared" si="7"/>
        <v>0</v>
      </c>
      <c r="J70">
        <v>17</v>
      </c>
      <c r="L70" s="30" t="str">
        <f t="array" ref="L70">IFERROR(INDEX(Tabelle2[Höhe],LARGE((Tabelle2[Randbedingungen]=$L$29)*(ROW(Tabelle2[Randbedingungen])-2),COUNTIF(Tabelle2[Randbedingungen],$L$29)+1-ROW(B42))),"")</f>
        <v/>
      </c>
      <c r="M70" s="30">
        <v>1</v>
      </c>
      <c r="N70" s="130"/>
    </row>
    <row r="71" spans="1:14" x14ac:dyDescent="0.25">
      <c r="B71" s="69" t="str">
        <f>IF((Selector!$B$19+J71-15-$L$2)*-1-$B$25&gt;=-2,(Selector!$B$19+J71-15-$L$2)*-1-$B$25,"-")</f>
        <v>-</v>
      </c>
      <c r="C71" s="68">
        <f t="shared" si="4"/>
        <v>0</v>
      </c>
      <c r="D71" s="67" t="str">
        <f>IF((Selector!$B$19+J71-15-$L$2)*-1-$D$25&gt;=-2,(Selector!$B$19+J71-15-$L$2)*-1-$D$25,"-")</f>
        <v>-</v>
      </c>
      <c r="E71" s="68">
        <f t="shared" si="5"/>
        <v>0</v>
      </c>
      <c r="F71" s="67" t="str">
        <f>IF((Selector!$B$19+J71-15-$L$2)*-1-$F$25&gt;=-2,(Selector!$B$19+J71-15-$L$2)*-1-$F$25,"-")</f>
        <v>-</v>
      </c>
      <c r="G71" s="52">
        <f t="shared" si="6"/>
        <v>0</v>
      </c>
      <c r="H71" s="67" t="str">
        <f>IF((Selector!$B$19+J71-15-$L$2)*-1-$H$25&gt;=-2,(Selector!$B$19+J71-15-$L$2)*-1-$H$25,"-")</f>
        <v>-</v>
      </c>
      <c r="I71" s="52">
        <f t="shared" si="7"/>
        <v>0</v>
      </c>
      <c r="J71">
        <v>18</v>
      </c>
      <c r="L71" s="30" t="str">
        <f t="array" ref="L71">IFERROR(INDEX(Tabelle2[Höhe],LARGE((Tabelle2[Randbedingungen]=$L$29)*(ROW(Tabelle2[Randbedingungen])-2),COUNTIF(Tabelle2[Randbedingungen],$L$29)+1-ROW(B43))),"")</f>
        <v/>
      </c>
      <c r="M71" s="30">
        <v>1</v>
      </c>
      <c r="N71" s="130"/>
    </row>
    <row r="72" spans="1:14" x14ac:dyDescent="0.25">
      <c r="B72" s="69" t="str">
        <f>IF((Selector!$B$19+J72-15-$L$2)*-1-$B$25&gt;=-2,(Selector!$B$19+J72-15-$L$2)*-1-$B$25,"-")</f>
        <v>-</v>
      </c>
      <c r="C72" s="68">
        <f t="shared" si="4"/>
        <v>0</v>
      </c>
      <c r="D72" s="67" t="str">
        <f>IF((Selector!$B$19+J72-15-$L$2)*-1-$D$25&gt;=-2,(Selector!$B$19+J72-15-$L$2)*-1-$D$25,"-")</f>
        <v>-</v>
      </c>
      <c r="E72" s="68">
        <f t="shared" si="5"/>
        <v>0</v>
      </c>
      <c r="F72" s="67" t="str">
        <f>IF((Selector!$B$19+J72-15-$L$2)*-1-$F$25&gt;=-2,(Selector!$B$19+J72-15-$L$2)*-1-$F$25,"-")</f>
        <v>-</v>
      </c>
      <c r="G72" s="52">
        <f t="shared" si="6"/>
        <v>0</v>
      </c>
      <c r="H72" s="67" t="str">
        <f>IF((Selector!$B$19+J72-15-$L$2)*-1-$H$25&gt;=-2,(Selector!$B$19+J72-15-$L$2)*-1-$H$25,"-")</f>
        <v>-</v>
      </c>
      <c r="I72" s="52">
        <f t="shared" si="7"/>
        <v>0</v>
      </c>
      <c r="J72">
        <v>19</v>
      </c>
      <c r="L72" s="30" t="str">
        <f t="array" ref="L72">IFERROR(INDEX(Tabelle2[Höhe],LARGE((Tabelle2[Randbedingungen]=$L$29)*(ROW(Tabelle2[Randbedingungen])-2),COUNTIF(Tabelle2[Randbedingungen],$L$29)+1-ROW(B44))),"")</f>
        <v/>
      </c>
      <c r="M72" s="30">
        <v>1</v>
      </c>
      <c r="N72" s="130"/>
    </row>
    <row r="73" spans="1:14" x14ac:dyDescent="0.25">
      <c r="B73" s="69" t="str">
        <f>IF((Selector!$B$19+J73-15-$L$2)*-1-$B$25&gt;=-2,(Selector!$B$19+J73-15-$L$2)*-1-$B$25,"-")</f>
        <v>-</v>
      </c>
      <c r="C73" s="68">
        <f t="shared" si="4"/>
        <v>0</v>
      </c>
      <c r="D73" s="67" t="str">
        <f>IF((Selector!$B$19+J73-15-$L$2)*-1-$D$25&gt;=-2,(Selector!$B$19+J73-15-$L$2)*-1-$D$25,"-")</f>
        <v>-</v>
      </c>
      <c r="E73" s="68">
        <f t="shared" si="5"/>
        <v>0</v>
      </c>
      <c r="F73" s="67" t="str">
        <f>IF((Selector!$B$19+J73-15-$L$2)*-1-$F$25&gt;=-2,(Selector!$B$19+J73-15-$L$2)*-1-$F$25,"-")</f>
        <v>-</v>
      </c>
      <c r="G73" s="52">
        <f t="shared" si="6"/>
        <v>0</v>
      </c>
      <c r="H73" s="67" t="str">
        <f>IF((Selector!$B$19+J73-15-$L$2)*-1-$H$25&gt;=-2,(Selector!$B$19+J73-15-$L$2)*-1-$H$25,"-")</f>
        <v>-</v>
      </c>
      <c r="I73" s="52">
        <f t="shared" si="7"/>
        <v>0</v>
      </c>
      <c r="J73">
        <v>20</v>
      </c>
      <c r="L73" s="30" t="str">
        <f t="array" ref="L73">IFERROR(INDEX(Tabelle2[Höhe],LARGE((Tabelle2[Randbedingungen]=$L$29)*(ROW(Tabelle2[Randbedingungen])-2),COUNTIF(Tabelle2[Randbedingungen],$L$29)+1-ROW(B45))),"")</f>
        <v/>
      </c>
      <c r="M73" s="30">
        <v>1</v>
      </c>
      <c r="N73" s="130"/>
    </row>
    <row r="75" spans="1:14" x14ac:dyDescent="0.25">
      <c r="A75" s="5">
        <f>IFERROR(SMALL(C75:I75,1),"-")</f>
        <v>7</v>
      </c>
      <c r="C75" s="52">
        <f>IFERROR(VLOOKUP(L29,C54:J73,8,FALSE),"")</f>
        <v>7</v>
      </c>
      <c r="E75" s="52">
        <f>IFERROR(VLOOKUP(L29,E54:J73,6,FALSE),"")</f>
        <v>10</v>
      </c>
      <c r="G75" s="52" t="str">
        <f>IFERROR(VLOOKUP(L29,G54:J73,4,FALSE),"")</f>
        <v/>
      </c>
      <c r="I75" s="52" t="str">
        <f>IFERROR(VLOOKUP(L29,I54:J73,2,FALSE),"")</f>
        <v/>
      </c>
    </row>
    <row r="78" spans="1:14" x14ac:dyDescent="0.25">
      <c r="A78" t="s">
        <v>956</v>
      </c>
    </row>
    <row r="79" spans="1:14" x14ac:dyDescent="0.25">
      <c r="A79" s="104">
        <f>L81</f>
        <v>1</v>
      </c>
      <c r="E79" s="4">
        <v>1</v>
      </c>
      <c r="F79" t="s">
        <v>960</v>
      </c>
    </row>
    <row r="80" spans="1:14" x14ac:dyDescent="0.25">
      <c r="A80">
        <f ca="1">IF(B80&lt;&gt;"",1,0)</f>
        <v>0</v>
      </c>
      <c r="B80" t="str">
        <f ca="1">IF(SUM(A81:A84)&gt;1,D80,"")</f>
        <v/>
      </c>
      <c r="C80">
        <v>-1000</v>
      </c>
      <c r="D80" t="str">
        <f ca="1">Sprache!A64</f>
        <v>all</v>
      </c>
      <c r="E80">
        <v>1</v>
      </c>
      <c r="F80" s="31" t="str">
        <f t="array" aca="1" ref="F80" ca="1">IFERROR(INDEX($B$80:$B$84,LARGE(($A$80:$A$84=$A$79)*(ROW($A$80:$A$84)-79),COUNTIF($A$80:$A$84,$A$79)+1-ROW(A1))),"keine Lösung")</f>
        <v>half overlay [K9.5]</v>
      </c>
      <c r="G80" s="31">
        <f t="array" aca="1" ref="G80" ca="1">IFERROR(INDEX($C$80:$C$84,LARGE(($A$80:$A$84=$A$79)*(ROW($A$80:$A$84)-79),COUNTIF($A$80:$A$84,$A$79)+1-ROW(A1))),"")</f>
        <v>9.5</v>
      </c>
      <c r="H80">
        <f ca="1">IF(G80&lt;&gt;"",1,0)</f>
        <v>1</v>
      </c>
    </row>
    <row r="81" spans="1:12" x14ac:dyDescent="0.25">
      <c r="A81">
        <f t="shared" ref="A81:A84" si="8">IF(B81&lt;&gt;"",1,0)</f>
        <v>0</v>
      </c>
      <c r="B81" t="str">
        <f>IF(C29&gt;0,D81,"")</f>
        <v/>
      </c>
      <c r="C81">
        <v>3</v>
      </c>
      <c r="D81" t="str">
        <f ca="1">Sprache!A66</f>
        <v>overlay [K3]</v>
      </c>
      <c r="E81">
        <v>2</v>
      </c>
      <c r="F81" s="31" t="str">
        <f t="array" aca="1" ref="F81" ca="1">IFERROR(INDEX($B$80:$B$84,LARGE(($A$80:$A$84=$A$79)*(ROW($A$80:$A$84)-79),COUNTIF($A$80:$A$84,$A$79)+1-ROW(A2))),"")</f>
        <v/>
      </c>
      <c r="G81" s="31" t="str">
        <f t="array" aca="1" ref="G81" ca="1">IFERROR(INDEX($C$80:$C$84,LARGE(($A$80:$A$84=$A$79)*(ROW($A$80:$A$84)-79),COUNTIF($A$80:$A$84,$A$79)+1-ROW(A2))),"")</f>
        <v/>
      </c>
      <c r="H81">
        <f t="shared" ref="H81:H84" ca="1" si="9">IF(G81&lt;&gt;"",1,0)</f>
        <v>0</v>
      </c>
      <c r="L81" s="103">
        <f>IF(A1="TIOMOS SELECTOR erstellt von SYS33 EDV Dienstleistung im Auftrag von GRASS Reinheim",1,100)</f>
        <v>1</v>
      </c>
    </row>
    <row r="82" spans="1:12" x14ac:dyDescent="0.25">
      <c r="A82">
        <f t="shared" si="8"/>
        <v>0</v>
      </c>
      <c r="B82" t="str">
        <f>IF(E29&gt;0,D82,"")</f>
        <v/>
      </c>
      <c r="C82">
        <v>0</v>
      </c>
      <c r="D82" t="str">
        <f ca="1">Sprache!A65</f>
        <v>full overlay [K0]</v>
      </c>
      <c r="E82">
        <v>3</v>
      </c>
      <c r="F82" s="31" t="str">
        <f t="array" aca="1" ref="F82" ca="1">IFERROR(INDEX($B$80:$B$84,LARGE(($A$80:$A$84=$A$79)*(ROW($A$80:$A$84)-79),COUNTIF($A$80:$A$84,$A$79)+1-ROW(A3))),"")</f>
        <v/>
      </c>
      <c r="G82" s="31" t="str">
        <f t="array" aca="1" ref="G82" ca="1">IFERROR(INDEX($C$80:$C$84,LARGE(($A$80:$A$84=$A$79)*(ROW($A$80:$A$84)-79),COUNTIF($A$80:$A$84,$A$79)+1-ROW(A3))),"")</f>
        <v/>
      </c>
      <c r="H82">
        <f t="shared" ca="1" si="9"/>
        <v>0</v>
      </c>
    </row>
    <row r="83" spans="1:12" x14ac:dyDescent="0.25">
      <c r="A83">
        <f t="shared" ca="1" si="8"/>
        <v>1</v>
      </c>
      <c r="B83" t="str">
        <f ca="1">IF(G29&gt;0,D83,"")</f>
        <v>half overlay [K9.5]</v>
      </c>
      <c r="C83">
        <v>9.5</v>
      </c>
      <c r="D83" t="str">
        <f ca="1">Sprache!A67</f>
        <v>half overlay [K9.5]</v>
      </c>
      <c r="E83">
        <v>4</v>
      </c>
      <c r="F83" s="31" t="str">
        <f t="array" aca="1" ref="F83" ca="1">IFERROR(INDEX($B$80:$B$84,LARGE(($A$80:$A$84=$A$79)*(ROW($A$80:$A$84)-79),COUNTIF($A$80:$A$84,$A$79)+1-ROW(A4))),"")</f>
        <v/>
      </c>
      <c r="G83" s="31" t="str">
        <f t="array" aca="1" ref="G83" ca="1">IFERROR(INDEX($C$80:$C$84,LARGE(($A$80:$A$84=$A$79)*(ROW($A$80:$A$84)-79),COUNTIF($A$80:$A$84,$A$79)+1-ROW(A4))),"")</f>
        <v/>
      </c>
      <c r="H83">
        <f t="shared" ca="1" si="9"/>
        <v>0</v>
      </c>
    </row>
    <row r="84" spans="1:12" x14ac:dyDescent="0.25">
      <c r="A84">
        <f t="shared" si="8"/>
        <v>0</v>
      </c>
      <c r="B84" t="str">
        <f>IF(I29&gt;0,D84,"")</f>
        <v/>
      </c>
      <c r="C84">
        <v>19</v>
      </c>
      <c r="D84" t="str">
        <f ca="1">Sprache!A68</f>
        <v>inset [19]</v>
      </c>
      <c r="E84">
        <v>5</v>
      </c>
      <c r="F84" s="31" t="str">
        <f t="array" aca="1" ref="F84" ca="1">IFERROR(INDEX($B$80:$B$84,LARGE(($A$80:$A$84=$A$79)*(ROW($A$80:$A$84)-79),COUNTIF($A$80:$A$84,$A$79)+1-ROW(A5))),"")</f>
        <v/>
      </c>
      <c r="G84" s="31" t="str">
        <f t="array" aca="1" ref="G84" ca="1">IFERROR(INDEX($C$80:$C$84,LARGE(($A$80:$A$84=$A$79)*(ROW($A$80:$A$84)-79),COUNTIF($A$80:$A$84,$A$79)+1-ROW(A5))),"")</f>
        <v/>
      </c>
      <c r="H84">
        <f t="shared" ca="1" si="9"/>
        <v>0</v>
      </c>
    </row>
    <row r="86" spans="1:12" x14ac:dyDescent="0.25">
      <c r="E86" t="s">
        <v>5</v>
      </c>
      <c r="F86" s="5">
        <f ca="1">VLOOKUP(E79,E80:G84,3,FALSE)</f>
        <v>9.5</v>
      </c>
      <c r="H86" s="31">
        <f ca="1">SUM(H80:H84)</f>
        <v>1</v>
      </c>
    </row>
    <row r="87" spans="1:12" x14ac:dyDescent="0.25">
      <c r="H87" t="str">
        <f ca="1">IF(AND(F86="",H86&lt;&gt;0)=TRUE,Sprache!A72,"")</f>
        <v/>
      </c>
    </row>
    <row r="88" spans="1:12" x14ac:dyDescent="0.25">
      <c r="H88" t="str">
        <f ca="1">IF(H86=0,Sprache!A71&amp;" "&amp;Sprache!A75&amp; "! "&amp;Sprache!A73&amp;" "&amp;Selector!B16&amp; " "&amp;J90,"")</f>
        <v/>
      </c>
    </row>
    <row r="89" spans="1:12" x14ac:dyDescent="0.25">
      <c r="H89">
        <f>IF(Selector!B18="---",0,Selector!B18)</f>
        <v>13</v>
      </c>
    </row>
    <row r="90" spans="1:12" x14ac:dyDescent="0.25">
      <c r="H90">
        <f>IF(Selector!B22="---",0,Selector!B22)</f>
        <v>0</v>
      </c>
      <c r="I90">
        <f>IF(OR(Selector!B18="---",Selector!B22="---")=TRUE,1,0)</f>
        <v>0</v>
      </c>
      <c r="J90" t="str">
        <f ca="1">IF(I90=0, Selector!B18&amp;" "&amp;Sprache!A74&amp;" "&amp;Selector!B22,SUM(H89:H90))</f>
        <v>13 or 0</v>
      </c>
    </row>
    <row r="97" spans="1:10" x14ac:dyDescent="0.25">
      <c r="A97" t="s">
        <v>961</v>
      </c>
    </row>
    <row r="98" spans="1:10" x14ac:dyDescent="0.25">
      <c r="A98" s="104">
        <f>L81</f>
        <v>1</v>
      </c>
    </row>
    <row r="99" spans="1:10" ht="82.5" x14ac:dyDescent="0.25">
      <c r="D99" s="9" t="str">
        <f>Tabelle2[[#Headers],[Bezeichnung 1]]</f>
        <v>Bezeichnung 1</v>
      </c>
      <c r="E99" s="9" t="str">
        <f>Tabelle2[[#Headers],[Bezeichnung 2]]</f>
        <v>Bezeichnung 2</v>
      </c>
      <c r="F99" s="9" t="str">
        <f>Tabelle2[[#Headers],[Bezeichnung TGr]]</f>
        <v>Bezeichnung TGr</v>
      </c>
      <c r="G99" s="9" t="str">
        <f>Tabelle2[[#Headers],[37/32]]</f>
        <v>37/32</v>
      </c>
      <c r="H99" s="9" t="str">
        <f>Tabelle2[[#Headers],[28/32]]</f>
        <v>28/32</v>
      </c>
      <c r="I99" s="9" t="str">
        <f>Tabelle2[[#Headers],[Höhe]]</f>
        <v>Höhe</v>
      </c>
      <c r="J99" s="9" t="str">
        <f>Tabelle2[[#Headers],[Teil]]</f>
        <v>Teil</v>
      </c>
    </row>
    <row r="100" spans="1:10" x14ac:dyDescent="0.25">
      <c r="A100" s="5" t="str">
        <f t="array" aca="1" ref="A100" ca="1">IFERROR(INDEX(Tabelle2[Spalte1],LARGE((Tabelle2[Gesamt]=$A$98)*(ROW(Tabelle2[Gesamt])-1),COUNTIF(Tabelle2[Gesamt],$A$98)+1-ROW(A1))),"")</f>
        <v>F058</v>
      </c>
      <c r="B100" s="5" t="str">
        <f t="array" aca="1" ref="B100" ca="1">IFERROR(INDEX(Tabelle2[Spalte2],LARGE((Tabelle2[Gesamt]=$A$98)*(ROW(Tabelle2[Gesamt])-1),COUNTIF(Tabelle2[Gesamt],$A$98)+1-ROW(A1))),"")</f>
        <v>139</v>
      </c>
      <c r="C100" s="5" t="str">
        <f t="array" aca="1" ref="C100" ca="1">IFERROR(INDEX(Tabelle2[Spalte3],LARGE((Tabelle2[Gesamt]=$A$98)*(ROW(Tabelle2[Gesamt])-1),COUNTIF(Tabelle2[Gesamt],$A$98)+1-ROW(A1))),"")</f>
        <v>759</v>
      </c>
      <c r="D100" s="5" t="str">
        <f t="array" aca="1" ref="D100" ca="1">IFERROR(INDEX(Tabelle2[Bezeichnung 1],LARGE((Tabelle2[Gesamt]=$A$98)*(ROW(Tabelle2[Gesamt])-1),COUNTIF(Tabelle2[Gesamt],$A$98)+1-ROW(A1))),"")</f>
        <v>1D Cross mounting plate TIOMOS</v>
      </c>
      <c r="E100" s="5" t="str">
        <f t="array" aca="1" ref="E100" ca="1">IFERROR(INDEX(Tabelle2[Bezeichnung 2],LARGE((Tabelle2[Gesamt]=$A$98)*(ROW(Tabelle2[Gesamt])-1),COUNTIF(Tabelle2[Gesamt],$A$98)+1-ROW(A1))),"")</f>
        <v>H 35, Euro, ni /37</v>
      </c>
      <c r="F100" s="5" t="str">
        <f t="array" aca="1" ref="F100" ca="1">IFERROR(INDEX(Tabelle2[Bezeichnung TGr],LARGE((Tabelle2[Gesamt]=$A$98)*(ROW(Tabelle2[Gesamt])-1),COUNTIF(Tabelle2[Gesamt],$A$98)+1-ROW(A1))),"")</f>
        <v>TIOMOS mounting plates</v>
      </c>
      <c r="G100" s="5">
        <f t="array" aca="1" ref="G100" ca="1">IFERROR(INDEX(Tabelle2[37/32],LARGE((Tabelle2[Gesamt]=$A$98)*(ROW(Tabelle2[Gesamt])-1),COUNTIF(Tabelle2[Gesamt],$A$98)+1-ROW(A1))),"")</f>
        <v>1</v>
      </c>
      <c r="H100" s="5">
        <f t="array" aca="1" ref="H100" ca="1">IFERROR(INDEX(Tabelle2[28/32],LARGE((Tabelle2[Gesamt]=$A$98)*(ROW(Tabelle2[Gesamt])-1),COUNTIF(Tabelle2[Gesamt],$A$98)+1-ROW(A1))),"")</f>
        <v>0</v>
      </c>
      <c r="I100" s="5">
        <f t="array" aca="1" ref="I100" ca="1">IFERROR(INDEX(Tabelle2[Höhe],LARGE((Tabelle2[Gesamt]=$A$98)*(ROW(Tabelle2[Gesamt])-1),COUNTIF(Tabelle2[Gesamt],$A$98)+1-ROW(A1))),"")</f>
        <v>3.5</v>
      </c>
      <c r="J100" s="5" t="str">
        <f t="array" aca="1" ref="J100" ca="1">IFERROR(INDEX(Tabelle2[Teil],LARGE((Tabelle2[Gesamt]=$A$98)*(ROW(Tabelle2[Gesamt])-1),COUNTIF(Tabelle2[Gesamt],$A$98)+1-ROW(A1))),"")</f>
        <v>F058139759</v>
      </c>
    </row>
    <row r="101" spans="1:10" x14ac:dyDescent="0.25">
      <c r="A101" s="5" t="str">
        <f t="array" aca="1" ref="A101" ca="1">IFERROR(INDEX(Tabelle2[Spalte1],LARGE((Tabelle2[Gesamt]=$A$98)*(ROW(Tabelle2[Gesamt])-1),COUNTIF(Tabelle2[Gesamt],$A$98)+1-ROW(A2))),"")</f>
        <v/>
      </c>
      <c r="B101" s="5" t="str">
        <f t="array" aca="1" ref="B101" ca="1">IFERROR(INDEX(Tabelle2[Spalte2],LARGE((Tabelle2[Gesamt]=$A$98)*(ROW(Tabelle2[Gesamt])-1),COUNTIF(Tabelle2[Gesamt],$A$98)+1-ROW(A2))),"")</f>
        <v/>
      </c>
      <c r="C101" s="5" t="str">
        <f t="array" aca="1" ref="C101" ca="1">IFERROR(INDEX(Tabelle2[Spalte3],LARGE((Tabelle2[Gesamt]=$A$98)*(ROW(Tabelle2[Gesamt])-1),COUNTIF(Tabelle2[Gesamt],$A$98)+1-ROW(A2))),"")</f>
        <v/>
      </c>
      <c r="D101" s="5" t="str">
        <f t="array" aca="1" ref="D101" ca="1">IFERROR(INDEX(Tabelle2[Bezeichnung 1],LARGE((Tabelle2[Gesamt]=$A$98)*(ROW(Tabelle2[Gesamt])-1),COUNTIF(Tabelle2[Gesamt],$A$98)+1-ROW(A2))),"")</f>
        <v/>
      </c>
      <c r="E101" s="5" t="str">
        <f t="array" aca="1" ref="E101" ca="1">IFERROR(INDEX(Tabelle2[Bezeichnung 2],LARGE((Tabelle2[Gesamt]=$A$98)*(ROW(Tabelle2[Gesamt])-1),COUNTIF(Tabelle2[Gesamt],$A$98)+1-ROW(A2))),"")</f>
        <v/>
      </c>
      <c r="F101" s="5" t="str">
        <f t="array" aca="1" ref="F101" ca="1">IFERROR(INDEX(Tabelle2[Bezeichnung TGr],LARGE((Tabelle2[Gesamt]=$A$98)*(ROW(Tabelle2[Gesamt])-1),COUNTIF(Tabelle2[Gesamt],$A$98)+1-ROW(A2))),"")</f>
        <v/>
      </c>
      <c r="G101" s="5" t="str">
        <f t="array" aca="1" ref="G101" ca="1">IFERROR(INDEX(Tabelle2[37/32],LARGE((Tabelle2[Gesamt]=$A$98)*(ROW(Tabelle2[Gesamt])-1),COUNTIF(Tabelle2[Gesamt],$A$98)+1-ROW(A2))),"")</f>
        <v/>
      </c>
      <c r="H101" s="5" t="str">
        <f t="array" aca="1" ref="H101" ca="1">IFERROR(INDEX(Tabelle2[28/32],LARGE((Tabelle2[Gesamt]=$A$98)*(ROW(Tabelle2[Gesamt])-1),COUNTIF(Tabelle2[Gesamt],$A$98)+1-ROW(A2))),"")</f>
        <v/>
      </c>
      <c r="I101" s="5" t="str">
        <f t="array" aca="1" ref="I101" ca="1">IFERROR(INDEX(Tabelle2[Höhe],LARGE((Tabelle2[Gesamt]=$A$98)*(ROW(Tabelle2[Gesamt])-1),COUNTIF(Tabelle2[Gesamt],$A$98)+1-ROW(A2))),"")</f>
        <v/>
      </c>
      <c r="J101" s="5" t="str">
        <f t="array" aca="1" ref="J101" ca="1">IFERROR(INDEX(Tabelle2[Teil],LARGE((Tabelle2[Gesamt]=$A$98)*(ROW(Tabelle2[Gesamt])-1),COUNTIF(Tabelle2[Gesamt],$A$98)+1-ROW(A2))),"")</f>
        <v/>
      </c>
    </row>
    <row r="102" spans="1:10" x14ac:dyDescent="0.25">
      <c r="A102" s="5" t="str">
        <f t="array" aca="1" ref="A102" ca="1">IFERROR(INDEX(Tabelle2[Spalte1],LARGE((Tabelle2[Gesamt]=$A$98)*(ROW(Tabelle2[Gesamt])-1),COUNTIF(Tabelle2[Gesamt],$A$98)+1-ROW(A3))),"")</f>
        <v/>
      </c>
      <c r="B102" s="5" t="str">
        <f t="array" aca="1" ref="B102" ca="1">IFERROR(INDEX(Tabelle2[Spalte2],LARGE((Tabelle2[Gesamt]=$A$98)*(ROW(Tabelle2[Gesamt])-1),COUNTIF(Tabelle2[Gesamt],$A$98)+1-ROW(A3))),"")</f>
        <v/>
      </c>
      <c r="C102" s="5" t="str">
        <f t="array" aca="1" ref="C102" ca="1">IFERROR(INDEX(Tabelle2[Spalte3],LARGE((Tabelle2[Gesamt]=$A$98)*(ROW(Tabelle2[Gesamt])-1),COUNTIF(Tabelle2[Gesamt],$A$98)+1-ROW(A3))),"")</f>
        <v/>
      </c>
      <c r="D102" s="5" t="str">
        <f t="array" aca="1" ref="D102" ca="1">IFERROR(INDEX(Tabelle2[Bezeichnung 1],LARGE((Tabelle2[Gesamt]=$A$98)*(ROW(Tabelle2[Gesamt])-1),COUNTIF(Tabelle2[Gesamt],$A$98)+1-ROW(A3))),"")</f>
        <v/>
      </c>
      <c r="E102" s="5" t="str">
        <f t="array" aca="1" ref="E102" ca="1">IFERROR(INDEX(Tabelle2[Bezeichnung 2],LARGE((Tabelle2[Gesamt]=$A$98)*(ROW(Tabelle2[Gesamt])-1),COUNTIF(Tabelle2[Gesamt],$A$98)+1-ROW(A3))),"")</f>
        <v/>
      </c>
      <c r="F102" s="5" t="str">
        <f t="array" aca="1" ref="F102" ca="1">IFERROR(INDEX(Tabelle2[Bezeichnung TGr],LARGE((Tabelle2[Gesamt]=$A$98)*(ROW(Tabelle2[Gesamt])-1),COUNTIF(Tabelle2[Gesamt],$A$98)+1-ROW(A3))),"")</f>
        <v/>
      </c>
      <c r="G102" s="5" t="str">
        <f t="array" aca="1" ref="G102" ca="1">IFERROR(INDEX(Tabelle2[37/32],LARGE((Tabelle2[Gesamt]=$A$98)*(ROW(Tabelle2[Gesamt])-1),COUNTIF(Tabelle2[Gesamt],$A$98)+1-ROW(A3))),"")</f>
        <v/>
      </c>
      <c r="H102" s="5" t="str">
        <f t="array" aca="1" ref="H102" ca="1">IFERROR(INDEX(Tabelle2[28/32],LARGE((Tabelle2[Gesamt]=$A$98)*(ROW(Tabelle2[Gesamt])-1),COUNTIF(Tabelle2[Gesamt],$A$98)+1-ROW(A3))),"")</f>
        <v/>
      </c>
      <c r="I102" s="5" t="str">
        <f t="array" aca="1" ref="I102" ca="1">IFERROR(INDEX(Tabelle2[Höhe],LARGE((Tabelle2[Gesamt]=$A$98)*(ROW(Tabelle2[Gesamt])-1),COUNTIF(Tabelle2[Gesamt],$A$98)+1-ROW(A3))),"")</f>
        <v/>
      </c>
      <c r="J102" s="5" t="str">
        <f t="array" aca="1" ref="J102" ca="1">IFERROR(INDEX(Tabelle2[Teil],LARGE((Tabelle2[Gesamt]=$A$98)*(ROW(Tabelle2[Gesamt])-1),COUNTIF(Tabelle2[Gesamt],$A$98)+1-ROW(A3))),"")</f>
        <v/>
      </c>
    </row>
    <row r="103" spans="1:10" x14ac:dyDescent="0.25">
      <c r="A103" s="5" t="str">
        <f t="array" aca="1" ref="A103" ca="1">IFERROR(INDEX(Tabelle2[Spalte1],LARGE((Tabelle2[Gesamt]=$A$98)*(ROW(Tabelle2[Gesamt])-1),COUNTIF(Tabelle2[Gesamt],$A$98)+1-ROW(A4))),"")</f>
        <v/>
      </c>
      <c r="B103" s="5" t="str">
        <f t="array" aca="1" ref="B103" ca="1">IFERROR(INDEX(Tabelle2[Spalte2],LARGE((Tabelle2[Gesamt]=$A$98)*(ROW(Tabelle2[Gesamt])-1),COUNTIF(Tabelle2[Gesamt],$A$98)+1-ROW(A4))),"")</f>
        <v/>
      </c>
      <c r="C103" s="5" t="str">
        <f t="array" aca="1" ref="C103" ca="1">IFERROR(INDEX(Tabelle2[Spalte3],LARGE((Tabelle2[Gesamt]=$A$98)*(ROW(Tabelle2[Gesamt])-1),COUNTIF(Tabelle2[Gesamt],$A$98)+1-ROW(A4))),"")</f>
        <v/>
      </c>
      <c r="D103" s="5" t="str">
        <f t="array" aca="1" ref="D103" ca="1">IFERROR(INDEX(Tabelle2[Bezeichnung 1],LARGE((Tabelle2[Gesamt]=$A$98)*(ROW(Tabelle2[Gesamt])-1),COUNTIF(Tabelle2[Gesamt],$A$98)+1-ROW(A4))),"")</f>
        <v/>
      </c>
      <c r="E103" s="5" t="str">
        <f t="array" aca="1" ref="E103" ca="1">IFERROR(INDEX(Tabelle2[Bezeichnung 2],LARGE((Tabelle2[Gesamt]=$A$98)*(ROW(Tabelle2[Gesamt])-1),COUNTIF(Tabelle2[Gesamt],$A$98)+1-ROW(A4))),"")</f>
        <v/>
      </c>
      <c r="F103" s="5" t="str">
        <f t="array" aca="1" ref="F103" ca="1">IFERROR(INDEX(Tabelle2[Bezeichnung TGr],LARGE((Tabelle2[Gesamt]=$A$98)*(ROW(Tabelle2[Gesamt])-1),COUNTIF(Tabelle2[Gesamt],$A$98)+1-ROW(A4))),"")</f>
        <v/>
      </c>
      <c r="G103" s="5" t="str">
        <f t="array" aca="1" ref="G103" ca="1">IFERROR(INDEX(Tabelle2[37/32],LARGE((Tabelle2[Gesamt]=$A$98)*(ROW(Tabelle2[Gesamt])-1),COUNTIF(Tabelle2[Gesamt],$A$98)+1-ROW(A4))),"")</f>
        <v/>
      </c>
      <c r="H103" s="5" t="str">
        <f t="array" aca="1" ref="H103" ca="1">IFERROR(INDEX(Tabelle2[28/32],LARGE((Tabelle2[Gesamt]=$A$98)*(ROW(Tabelle2[Gesamt])-1),COUNTIF(Tabelle2[Gesamt],$A$98)+1-ROW(A4))),"")</f>
        <v/>
      </c>
      <c r="I103" s="5" t="str">
        <f t="array" aca="1" ref="I103" ca="1">IFERROR(INDEX(Tabelle2[Höhe],LARGE((Tabelle2[Gesamt]=$A$98)*(ROW(Tabelle2[Gesamt])-1),COUNTIF(Tabelle2[Gesamt],$A$98)+1-ROW(A4))),"")</f>
        <v/>
      </c>
      <c r="J103" s="5" t="str">
        <f t="array" aca="1" ref="J103" ca="1">IFERROR(INDEX(Tabelle2[Teil],LARGE((Tabelle2[Gesamt]=$A$98)*(ROW(Tabelle2[Gesamt])-1),COUNTIF(Tabelle2[Gesamt],$A$98)+1-ROW(A4))),"")</f>
        <v/>
      </c>
    </row>
    <row r="104" spans="1:10" x14ac:dyDescent="0.25">
      <c r="A104" s="5" t="str">
        <f t="array" aca="1" ref="A104" ca="1">IFERROR(INDEX(Tabelle2[Spalte1],LARGE((Tabelle2[Gesamt]=$A$98)*(ROW(Tabelle2[Gesamt])-1),COUNTIF(Tabelle2[Gesamt],$A$98)+1-ROW(A5))),"")</f>
        <v/>
      </c>
      <c r="B104" s="5" t="str">
        <f t="array" aca="1" ref="B104" ca="1">IFERROR(INDEX(Tabelle2[Spalte2],LARGE((Tabelle2[Gesamt]=$A$98)*(ROW(Tabelle2[Gesamt])-1),COUNTIF(Tabelle2[Gesamt],$A$98)+1-ROW(A5))),"")</f>
        <v/>
      </c>
      <c r="C104" s="5" t="str">
        <f t="array" aca="1" ref="C104" ca="1">IFERROR(INDEX(Tabelle2[Spalte3],LARGE((Tabelle2[Gesamt]=$A$98)*(ROW(Tabelle2[Gesamt])-1),COUNTIF(Tabelle2[Gesamt],$A$98)+1-ROW(A5))),"")</f>
        <v/>
      </c>
      <c r="D104" s="5" t="str">
        <f t="array" aca="1" ref="D104" ca="1">IFERROR(INDEX(Tabelle2[Bezeichnung 1],LARGE((Tabelle2[Gesamt]=$A$98)*(ROW(Tabelle2[Gesamt])-1),COUNTIF(Tabelle2[Gesamt],$A$98)+1-ROW(A5))),"")</f>
        <v/>
      </c>
      <c r="E104" s="5" t="str">
        <f t="array" aca="1" ref="E104" ca="1">IFERROR(INDEX(Tabelle2[Bezeichnung 2],LARGE((Tabelle2[Gesamt]=$A$98)*(ROW(Tabelle2[Gesamt])-1),COUNTIF(Tabelle2[Gesamt],$A$98)+1-ROW(A5))),"")</f>
        <v/>
      </c>
      <c r="F104" s="5" t="str">
        <f t="array" aca="1" ref="F104" ca="1">IFERROR(INDEX(Tabelle2[Bezeichnung TGr],LARGE((Tabelle2[Gesamt]=$A$98)*(ROW(Tabelle2[Gesamt])-1),COUNTIF(Tabelle2[Gesamt],$A$98)+1-ROW(A5))),"")</f>
        <v/>
      </c>
      <c r="G104" s="5" t="str">
        <f t="array" aca="1" ref="G104" ca="1">IFERROR(INDEX(Tabelle2[37/32],LARGE((Tabelle2[Gesamt]=$A$98)*(ROW(Tabelle2[Gesamt])-1),COUNTIF(Tabelle2[Gesamt],$A$98)+1-ROW(A5))),"")</f>
        <v/>
      </c>
      <c r="H104" s="5" t="str">
        <f t="array" aca="1" ref="H104" ca="1">IFERROR(INDEX(Tabelle2[28/32],LARGE((Tabelle2[Gesamt]=$A$98)*(ROW(Tabelle2[Gesamt])-1),COUNTIF(Tabelle2[Gesamt],$A$98)+1-ROW(A5))),"")</f>
        <v/>
      </c>
      <c r="I104" s="5" t="str">
        <f t="array" aca="1" ref="I104" ca="1">IFERROR(INDEX(Tabelle2[Höhe],LARGE((Tabelle2[Gesamt]=$A$98)*(ROW(Tabelle2[Gesamt])-1),COUNTIF(Tabelle2[Gesamt],$A$98)+1-ROW(A5))),"")</f>
        <v/>
      </c>
      <c r="J104" s="5" t="str">
        <f t="array" aca="1" ref="J104" ca="1">IFERROR(INDEX(Tabelle2[Teil],LARGE((Tabelle2[Gesamt]=$A$98)*(ROW(Tabelle2[Gesamt])-1),COUNTIF(Tabelle2[Gesamt],$A$98)+1-ROW(A5))),"")</f>
        <v/>
      </c>
    </row>
    <row r="105" spans="1:10" x14ac:dyDescent="0.25">
      <c r="A105" s="5" t="str">
        <f t="array" aca="1" ref="A105" ca="1">IFERROR(INDEX(Tabelle2[Spalte1],LARGE((Tabelle2[Gesamt]=$A$98)*(ROW(Tabelle2[Gesamt])-1),COUNTIF(Tabelle2[Gesamt],$A$98)+1-ROW(A6))),"")</f>
        <v/>
      </c>
      <c r="B105" s="5" t="str">
        <f t="array" aca="1" ref="B105" ca="1">IFERROR(INDEX(Tabelle2[Spalte2],LARGE((Tabelle2[Gesamt]=$A$98)*(ROW(Tabelle2[Gesamt])-1),COUNTIF(Tabelle2[Gesamt],$A$98)+1-ROW(A6))),"")</f>
        <v/>
      </c>
      <c r="C105" s="5" t="str">
        <f t="array" aca="1" ref="C105" ca="1">IFERROR(INDEX(Tabelle2[Spalte3],LARGE((Tabelle2[Gesamt]=$A$98)*(ROW(Tabelle2[Gesamt])-1),COUNTIF(Tabelle2[Gesamt],$A$98)+1-ROW(A6))),"")</f>
        <v/>
      </c>
      <c r="D105" s="5" t="str">
        <f t="array" aca="1" ref="D105" ca="1">IFERROR(INDEX(Tabelle2[Bezeichnung 1],LARGE((Tabelle2[Gesamt]=$A$98)*(ROW(Tabelle2[Gesamt])-1),COUNTIF(Tabelle2[Gesamt],$A$98)+1-ROW(A6))),"")</f>
        <v/>
      </c>
      <c r="E105" s="5" t="str">
        <f t="array" aca="1" ref="E105" ca="1">IFERROR(INDEX(Tabelle2[Bezeichnung 2],LARGE((Tabelle2[Gesamt]=$A$98)*(ROW(Tabelle2[Gesamt])-1),COUNTIF(Tabelle2[Gesamt],$A$98)+1-ROW(A6))),"")</f>
        <v/>
      </c>
      <c r="F105" s="5" t="str">
        <f t="array" aca="1" ref="F105" ca="1">IFERROR(INDEX(Tabelle2[Bezeichnung TGr],LARGE((Tabelle2[Gesamt]=$A$98)*(ROW(Tabelle2[Gesamt])-1),COUNTIF(Tabelle2[Gesamt],$A$98)+1-ROW(A6))),"")</f>
        <v/>
      </c>
      <c r="G105" s="5" t="str">
        <f t="array" aca="1" ref="G105" ca="1">IFERROR(INDEX(Tabelle2[37/32],LARGE((Tabelle2[Gesamt]=$A$98)*(ROW(Tabelle2[Gesamt])-1),COUNTIF(Tabelle2[Gesamt],$A$98)+1-ROW(A6))),"")</f>
        <v/>
      </c>
      <c r="H105" s="5" t="str">
        <f t="array" aca="1" ref="H105" ca="1">IFERROR(INDEX(Tabelle2[28/32],LARGE((Tabelle2[Gesamt]=$A$98)*(ROW(Tabelle2[Gesamt])-1),COUNTIF(Tabelle2[Gesamt],$A$98)+1-ROW(A6))),"")</f>
        <v/>
      </c>
      <c r="I105" s="5" t="str">
        <f t="array" aca="1" ref="I105" ca="1">IFERROR(INDEX(Tabelle2[Höhe],LARGE((Tabelle2[Gesamt]=$A$98)*(ROW(Tabelle2[Gesamt])-1),COUNTIF(Tabelle2[Gesamt],$A$98)+1-ROW(A6))),"")</f>
        <v/>
      </c>
      <c r="J105" s="5" t="str">
        <f t="array" aca="1" ref="J105" ca="1">IFERROR(INDEX(Tabelle2[Teil],LARGE((Tabelle2[Gesamt]=$A$98)*(ROW(Tabelle2[Gesamt])-1),COUNTIF(Tabelle2[Gesamt],$A$98)+1-ROW(A6))),"")</f>
        <v/>
      </c>
    </row>
    <row r="106" spans="1:10" x14ac:dyDescent="0.25">
      <c r="A106" s="5" t="str">
        <f t="array" aca="1" ref="A106" ca="1">IFERROR(INDEX(Tabelle2[Spalte1],LARGE((Tabelle2[Gesamt]=$A$98)*(ROW(Tabelle2[Gesamt])-1),COUNTIF(Tabelle2[Gesamt],$A$98)+1-ROW(A7))),"")</f>
        <v/>
      </c>
      <c r="B106" s="5" t="str">
        <f t="array" aca="1" ref="B106" ca="1">IFERROR(INDEX(Tabelle2[Spalte2],LARGE((Tabelle2[Gesamt]=$A$98)*(ROW(Tabelle2[Gesamt])-1),COUNTIF(Tabelle2[Gesamt],$A$98)+1-ROW(A7))),"")</f>
        <v/>
      </c>
      <c r="C106" s="5" t="str">
        <f t="array" aca="1" ref="C106" ca="1">IFERROR(INDEX(Tabelle2[Spalte3],LARGE((Tabelle2[Gesamt]=$A$98)*(ROW(Tabelle2[Gesamt])-1),COUNTIF(Tabelle2[Gesamt],$A$98)+1-ROW(A7))),"")</f>
        <v/>
      </c>
      <c r="D106" s="5" t="str">
        <f t="array" aca="1" ref="D106" ca="1">IFERROR(INDEX(Tabelle2[Bezeichnung 1],LARGE((Tabelle2[Gesamt]=$A$98)*(ROW(Tabelle2[Gesamt])-1),COUNTIF(Tabelle2[Gesamt],$A$98)+1-ROW(A7))),"")</f>
        <v/>
      </c>
      <c r="E106" s="5" t="str">
        <f t="array" aca="1" ref="E106" ca="1">IFERROR(INDEX(Tabelle2[Bezeichnung 2],LARGE((Tabelle2[Gesamt]=$A$98)*(ROW(Tabelle2[Gesamt])-1),COUNTIF(Tabelle2[Gesamt],$A$98)+1-ROW(A7))),"")</f>
        <v/>
      </c>
      <c r="F106" s="5" t="str">
        <f t="array" aca="1" ref="F106" ca="1">IFERROR(INDEX(Tabelle2[Bezeichnung TGr],LARGE((Tabelle2[Gesamt]=$A$98)*(ROW(Tabelle2[Gesamt])-1),COUNTIF(Tabelle2[Gesamt],$A$98)+1-ROW(A7))),"")</f>
        <v/>
      </c>
      <c r="G106" s="5" t="str">
        <f t="array" aca="1" ref="G106" ca="1">IFERROR(INDEX(Tabelle2[37/32],LARGE((Tabelle2[Gesamt]=$A$98)*(ROW(Tabelle2[Gesamt])-1),COUNTIF(Tabelle2[Gesamt],$A$98)+1-ROW(A7))),"")</f>
        <v/>
      </c>
      <c r="H106" s="5" t="str">
        <f t="array" aca="1" ref="H106" ca="1">IFERROR(INDEX(Tabelle2[28/32],LARGE((Tabelle2[Gesamt]=$A$98)*(ROW(Tabelle2[Gesamt])-1),COUNTIF(Tabelle2[Gesamt],$A$98)+1-ROW(A7))),"")</f>
        <v/>
      </c>
      <c r="I106" s="5" t="str">
        <f t="array" aca="1" ref="I106" ca="1">IFERROR(INDEX(Tabelle2[Höhe],LARGE((Tabelle2[Gesamt]=$A$98)*(ROW(Tabelle2[Gesamt])-1),COUNTIF(Tabelle2[Gesamt],$A$98)+1-ROW(A7))),"")</f>
        <v/>
      </c>
      <c r="J106" s="5" t="str">
        <f t="array" aca="1" ref="J106" ca="1">IFERROR(INDEX(Tabelle2[Teil],LARGE((Tabelle2[Gesamt]=$A$98)*(ROW(Tabelle2[Gesamt])-1),COUNTIF(Tabelle2[Gesamt],$A$98)+1-ROW(A7))),"")</f>
        <v/>
      </c>
    </row>
    <row r="107" spans="1:10" x14ac:dyDescent="0.25">
      <c r="A107" s="5" t="str">
        <f t="array" aca="1" ref="A107" ca="1">IFERROR(INDEX(Tabelle2[Spalte1],LARGE((Tabelle2[Gesamt]=$A$98)*(ROW(Tabelle2[Gesamt])-1),COUNTIF(Tabelle2[Gesamt],$A$98)+1-ROW(A8))),"")</f>
        <v/>
      </c>
      <c r="B107" s="5" t="str">
        <f t="array" aca="1" ref="B107" ca="1">IFERROR(INDEX(Tabelle2[Spalte2],LARGE((Tabelle2[Gesamt]=$A$98)*(ROW(Tabelle2[Gesamt])-1),COUNTIF(Tabelle2[Gesamt],$A$98)+1-ROW(A8))),"")</f>
        <v/>
      </c>
      <c r="C107" s="5" t="str">
        <f t="array" aca="1" ref="C107" ca="1">IFERROR(INDEX(Tabelle2[Spalte3],LARGE((Tabelle2[Gesamt]=$A$98)*(ROW(Tabelle2[Gesamt])-1),COUNTIF(Tabelle2[Gesamt],$A$98)+1-ROW(A8))),"")</f>
        <v/>
      </c>
      <c r="D107" s="5" t="str">
        <f t="array" aca="1" ref="D107" ca="1">IFERROR(INDEX(Tabelle2[Bezeichnung 1],LARGE((Tabelle2[Gesamt]=$A$98)*(ROW(Tabelle2[Gesamt])-1),COUNTIF(Tabelle2[Gesamt],$A$98)+1-ROW(A8))),"")</f>
        <v/>
      </c>
      <c r="E107" s="5" t="str">
        <f t="array" aca="1" ref="E107" ca="1">IFERROR(INDEX(Tabelle2[Bezeichnung 2],LARGE((Tabelle2[Gesamt]=$A$98)*(ROW(Tabelle2[Gesamt])-1),COUNTIF(Tabelle2[Gesamt],$A$98)+1-ROW(A8))),"")</f>
        <v/>
      </c>
      <c r="F107" s="5" t="str">
        <f t="array" aca="1" ref="F107" ca="1">IFERROR(INDEX(Tabelle2[Bezeichnung TGr],LARGE((Tabelle2[Gesamt]=$A$98)*(ROW(Tabelle2[Gesamt])-1),COUNTIF(Tabelle2[Gesamt],$A$98)+1-ROW(A8))),"")</f>
        <v/>
      </c>
      <c r="G107" s="5" t="str">
        <f t="array" aca="1" ref="G107" ca="1">IFERROR(INDEX(Tabelle2[37/32],LARGE((Tabelle2[Gesamt]=$A$98)*(ROW(Tabelle2[Gesamt])-1),COUNTIF(Tabelle2[Gesamt],$A$98)+1-ROW(A8))),"")</f>
        <v/>
      </c>
      <c r="H107" s="5" t="str">
        <f t="array" aca="1" ref="H107" ca="1">IFERROR(INDEX(Tabelle2[28/32],LARGE((Tabelle2[Gesamt]=$A$98)*(ROW(Tabelle2[Gesamt])-1),COUNTIF(Tabelle2[Gesamt],$A$98)+1-ROW(A8))),"")</f>
        <v/>
      </c>
      <c r="I107" s="5" t="str">
        <f t="array" aca="1" ref="I107" ca="1">IFERROR(INDEX(Tabelle2[Höhe],LARGE((Tabelle2[Gesamt]=$A$98)*(ROW(Tabelle2[Gesamt])-1),COUNTIF(Tabelle2[Gesamt],$A$98)+1-ROW(A8))),"")</f>
        <v/>
      </c>
      <c r="J107" s="5" t="str">
        <f t="array" aca="1" ref="J107" ca="1">IFERROR(INDEX(Tabelle2[Teil],LARGE((Tabelle2[Gesamt]=$A$98)*(ROW(Tabelle2[Gesamt])-1),COUNTIF(Tabelle2[Gesamt],$A$98)+1-ROW(A8))),"")</f>
        <v/>
      </c>
    </row>
    <row r="108" spans="1:10" x14ac:dyDescent="0.25">
      <c r="A108" s="5" t="str">
        <f t="array" aca="1" ref="A108" ca="1">IFERROR(INDEX(Tabelle2[Spalte1],LARGE((Tabelle2[Gesamt]=$A$98)*(ROW(Tabelle2[Gesamt])-1),COUNTIF(Tabelle2[Gesamt],$A$98)+1-ROW(A9))),"")</f>
        <v/>
      </c>
      <c r="B108" s="5" t="str">
        <f t="array" aca="1" ref="B108" ca="1">IFERROR(INDEX(Tabelle2[Spalte2],LARGE((Tabelle2[Gesamt]=$A$98)*(ROW(Tabelle2[Gesamt])-1),COUNTIF(Tabelle2[Gesamt],$A$98)+1-ROW(A9))),"")</f>
        <v/>
      </c>
      <c r="C108" s="5" t="str">
        <f t="array" aca="1" ref="C108" ca="1">IFERROR(INDEX(Tabelle2[Spalte3],LARGE((Tabelle2[Gesamt]=$A$98)*(ROW(Tabelle2[Gesamt])-1),COUNTIF(Tabelle2[Gesamt],$A$98)+1-ROW(A9))),"")</f>
        <v/>
      </c>
      <c r="D108" s="5" t="str">
        <f t="array" aca="1" ref="D108" ca="1">IFERROR(INDEX(Tabelle2[Bezeichnung 1],LARGE((Tabelle2[Gesamt]=$A$98)*(ROW(Tabelle2[Gesamt])-1),COUNTIF(Tabelle2[Gesamt],$A$98)+1-ROW(A9))),"")</f>
        <v/>
      </c>
      <c r="E108" s="5" t="str">
        <f t="array" aca="1" ref="E108" ca="1">IFERROR(INDEX(Tabelle2[Bezeichnung 2],LARGE((Tabelle2[Gesamt]=$A$98)*(ROW(Tabelle2[Gesamt])-1),COUNTIF(Tabelle2[Gesamt],$A$98)+1-ROW(A9))),"")</f>
        <v/>
      </c>
      <c r="F108" s="5" t="str">
        <f t="array" aca="1" ref="F108" ca="1">IFERROR(INDEX(Tabelle2[Bezeichnung TGr],LARGE((Tabelle2[Gesamt]=$A$98)*(ROW(Tabelle2[Gesamt])-1),COUNTIF(Tabelle2[Gesamt],$A$98)+1-ROW(A9))),"")</f>
        <v/>
      </c>
      <c r="G108" s="5" t="str">
        <f t="array" aca="1" ref="G108" ca="1">IFERROR(INDEX(Tabelle2[37/32],LARGE((Tabelle2[Gesamt]=$A$98)*(ROW(Tabelle2[Gesamt])-1),COUNTIF(Tabelle2[Gesamt],$A$98)+1-ROW(A9))),"")</f>
        <v/>
      </c>
      <c r="H108" s="5" t="str">
        <f t="array" aca="1" ref="H108" ca="1">IFERROR(INDEX(Tabelle2[28/32],LARGE((Tabelle2[Gesamt]=$A$98)*(ROW(Tabelle2[Gesamt])-1),COUNTIF(Tabelle2[Gesamt],$A$98)+1-ROW(A9))),"")</f>
        <v/>
      </c>
      <c r="I108" s="5" t="str">
        <f t="array" aca="1" ref="I108" ca="1">IFERROR(INDEX(Tabelle2[Höhe],LARGE((Tabelle2[Gesamt]=$A$98)*(ROW(Tabelle2[Gesamt])-1),COUNTIF(Tabelle2[Gesamt],$A$98)+1-ROW(A9))),"")</f>
        <v/>
      </c>
      <c r="J108" s="5" t="str">
        <f t="array" aca="1" ref="J108" ca="1">IFERROR(INDEX(Tabelle2[Teil],LARGE((Tabelle2[Gesamt]=$A$98)*(ROW(Tabelle2[Gesamt])-1),COUNTIF(Tabelle2[Gesamt],$A$98)+1-ROW(A9))),"")</f>
        <v/>
      </c>
    </row>
    <row r="109" spans="1:10" x14ac:dyDescent="0.25">
      <c r="A109" s="5" t="str">
        <f t="array" aca="1" ref="A109" ca="1">IFERROR(INDEX(Tabelle2[Spalte1],LARGE((Tabelle2[Gesamt]=$A$98)*(ROW(Tabelle2[Gesamt])-1),COUNTIF(Tabelle2[Gesamt],$A$98)+1-ROW(A10))),"")</f>
        <v/>
      </c>
      <c r="B109" s="5" t="str">
        <f t="array" aca="1" ref="B109" ca="1">IFERROR(INDEX(Tabelle2[Spalte2],LARGE((Tabelle2[Gesamt]=$A$98)*(ROW(Tabelle2[Gesamt])-1),COUNTIF(Tabelle2[Gesamt],$A$98)+1-ROW(A10))),"")</f>
        <v/>
      </c>
      <c r="C109" s="5" t="str">
        <f t="array" aca="1" ref="C109" ca="1">IFERROR(INDEX(Tabelle2[Spalte3],LARGE((Tabelle2[Gesamt]=$A$98)*(ROW(Tabelle2[Gesamt])-1),COUNTIF(Tabelle2[Gesamt],$A$98)+1-ROW(A10))),"")</f>
        <v/>
      </c>
      <c r="D109" s="5" t="str">
        <f t="array" aca="1" ref="D109" ca="1">IFERROR(INDEX(Tabelle2[Bezeichnung 1],LARGE((Tabelle2[Gesamt]=$A$98)*(ROW(Tabelle2[Gesamt])-1),COUNTIF(Tabelle2[Gesamt],$A$98)+1-ROW(A10))),"")</f>
        <v/>
      </c>
      <c r="E109" s="5" t="str">
        <f t="array" aca="1" ref="E109" ca="1">IFERROR(INDEX(Tabelle2[Bezeichnung 2],LARGE((Tabelle2[Gesamt]=$A$98)*(ROW(Tabelle2[Gesamt])-1),COUNTIF(Tabelle2[Gesamt],$A$98)+1-ROW(A10))),"")</f>
        <v/>
      </c>
      <c r="F109" s="5" t="str">
        <f t="array" aca="1" ref="F109" ca="1">IFERROR(INDEX(Tabelle2[Bezeichnung TGr],LARGE((Tabelle2[Gesamt]=$A$98)*(ROW(Tabelle2[Gesamt])-1),COUNTIF(Tabelle2[Gesamt],$A$98)+1-ROW(A10))),"")</f>
        <v/>
      </c>
      <c r="G109" s="5" t="str">
        <f t="array" aca="1" ref="G109" ca="1">IFERROR(INDEX(Tabelle2[37/32],LARGE((Tabelle2[Gesamt]=$A$98)*(ROW(Tabelle2[Gesamt])-1),COUNTIF(Tabelle2[Gesamt],$A$98)+1-ROW(A10))),"")</f>
        <v/>
      </c>
      <c r="H109" s="5" t="str">
        <f t="array" aca="1" ref="H109" ca="1">IFERROR(INDEX(Tabelle2[28/32],LARGE((Tabelle2[Gesamt]=$A$98)*(ROW(Tabelle2[Gesamt])-1),COUNTIF(Tabelle2[Gesamt],$A$98)+1-ROW(A10))),"")</f>
        <v/>
      </c>
      <c r="I109" s="5" t="str">
        <f t="array" aca="1" ref="I109" ca="1">IFERROR(INDEX(Tabelle2[Höhe],LARGE((Tabelle2[Gesamt]=$A$98)*(ROW(Tabelle2[Gesamt])-1),COUNTIF(Tabelle2[Gesamt],$A$98)+1-ROW(A10))),"")</f>
        <v/>
      </c>
      <c r="J109" s="5" t="str">
        <f t="array" aca="1" ref="J109" ca="1">IFERROR(INDEX(Tabelle2[Teil],LARGE((Tabelle2[Gesamt]=$A$98)*(ROW(Tabelle2[Gesamt])-1),COUNTIF(Tabelle2[Gesamt],$A$98)+1-ROW(A10))),"")</f>
        <v/>
      </c>
    </row>
    <row r="110" spans="1:10" x14ac:dyDescent="0.25">
      <c r="A110" s="5" t="str">
        <f t="array" aca="1" ref="A110" ca="1">IFERROR(INDEX(Tabelle2[Spalte1],LARGE((Tabelle2[Gesamt]=$A$98)*(ROW(Tabelle2[Gesamt])-1),COUNTIF(Tabelle2[Gesamt],$A$98)+1-ROW(A11))),"")</f>
        <v/>
      </c>
      <c r="B110" s="5" t="str">
        <f t="array" aca="1" ref="B110" ca="1">IFERROR(INDEX(Tabelle2[Spalte2],LARGE((Tabelle2[Gesamt]=$A$98)*(ROW(Tabelle2[Gesamt])-1),COUNTIF(Tabelle2[Gesamt],$A$98)+1-ROW(A11))),"")</f>
        <v/>
      </c>
      <c r="C110" s="5" t="str">
        <f t="array" aca="1" ref="C110" ca="1">IFERROR(INDEX(Tabelle2[Spalte3],LARGE((Tabelle2[Gesamt]=$A$98)*(ROW(Tabelle2[Gesamt])-1),COUNTIF(Tabelle2[Gesamt],$A$98)+1-ROW(A11))),"")</f>
        <v/>
      </c>
      <c r="D110" s="5" t="str">
        <f t="array" aca="1" ref="D110" ca="1">IFERROR(INDEX(Tabelle2[Bezeichnung 1],LARGE((Tabelle2[Gesamt]=$A$98)*(ROW(Tabelle2[Gesamt])-1),COUNTIF(Tabelle2[Gesamt],$A$98)+1-ROW(A11))),"")</f>
        <v/>
      </c>
      <c r="E110" s="5" t="str">
        <f t="array" aca="1" ref="E110" ca="1">IFERROR(INDEX(Tabelle2[Bezeichnung 2],LARGE((Tabelle2[Gesamt]=$A$98)*(ROW(Tabelle2[Gesamt])-1),COUNTIF(Tabelle2[Gesamt],$A$98)+1-ROW(A11))),"")</f>
        <v/>
      </c>
      <c r="F110" s="5" t="str">
        <f t="array" aca="1" ref="F110" ca="1">IFERROR(INDEX(Tabelle2[Bezeichnung TGr],LARGE((Tabelle2[Gesamt]=$A$98)*(ROW(Tabelle2[Gesamt])-1),COUNTIF(Tabelle2[Gesamt],$A$98)+1-ROW(A11))),"")</f>
        <v/>
      </c>
      <c r="G110" s="5" t="str">
        <f t="array" aca="1" ref="G110" ca="1">IFERROR(INDEX(Tabelle2[37/32],LARGE((Tabelle2[Gesamt]=$A$98)*(ROW(Tabelle2[Gesamt])-1),COUNTIF(Tabelle2[Gesamt],$A$98)+1-ROW(A11))),"")</f>
        <v/>
      </c>
      <c r="H110" s="5" t="str">
        <f t="array" aca="1" ref="H110" ca="1">IFERROR(INDEX(Tabelle2[28/32],LARGE((Tabelle2[Gesamt]=$A$98)*(ROW(Tabelle2[Gesamt])-1),COUNTIF(Tabelle2[Gesamt],$A$98)+1-ROW(A11))),"")</f>
        <v/>
      </c>
      <c r="I110" s="5" t="str">
        <f t="array" aca="1" ref="I110" ca="1">IFERROR(INDEX(Tabelle2[Höhe],LARGE((Tabelle2[Gesamt]=$A$98)*(ROW(Tabelle2[Gesamt])-1),COUNTIF(Tabelle2[Gesamt],$A$98)+1-ROW(A11))),"")</f>
        <v/>
      </c>
      <c r="J110" s="5" t="str">
        <f t="array" aca="1" ref="J110" ca="1">IFERROR(INDEX(Tabelle2[Teil],LARGE((Tabelle2[Gesamt]=$A$98)*(ROW(Tabelle2[Gesamt])-1),COUNTIF(Tabelle2[Gesamt],$A$98)+1-ROW(A11))),"")</f>
        <v/>
      </c>
    </row>
    <row r="114" spans="1:14" ht="82.5" x14ac:dyDescent="0.25">
      <c r="A114" t="s">
        <v>972</v>
      </c>
      <c r="D114" s="9" t="str">
        <f>Tabelle1[[#Headers],[Bezeichnung 1]]</f>
        <v>Bezeichnung 1</v>
      </c>
      <c r="E114" s="9" t="str">
        <f>Tabelle1[[#Headers],[Bezeichnung 2]]</f>
        <v>Bezeichnung 2</v>
      </c>
      <c r="F114" s="9" t="str">
        <f>Tabelle1[[#Headers],[Bezeichnung TGr]]</f>
        <v>Bezeichnung TGr</v>
      </c>
    </row>
    <row r="115" spans="1:14" x14ac:dyDescent="0.25">
      <c r="A115" s="5" t="str">
        <f t="array" aca="1" ref="A115" ca="1">IFERROR(INDEX(Tabelle1[Spalte3],LARGE((Tabelle1[Gesamt]=$L$81)*(ROW(Tabelle1[Gesamt])-1),COUNTIF(Tabelle1[Gesamt],1)+1-ROW(A1))),"")</f>
        <v>F028</v>
      </c>
      <c r="B115" s="5" t="str">
        <f t="array" aca="1" ref="B115" ca="1">IFERROR(INDEX(Tabelle1[Spalte2],LARGE((Tabelle1[Gesamt]=$L$81)*(ROW(Tabelle1[Gesamt])-1),COUNTIF(Tabelle1[Gesamt],1)+1-ROW(A1))),"")</f>
        <v>138</v>
      </c>
      <c r="C115" s="5" t="str">
        <f t="array" aca="1" ref="C115" ca="1">IFERROR(INDEX(Tabelle1[Spalte1],LARGE((Tabelle1[Gesamt]=$L$81)*(ROW(Tabelle1[Gesamt])-1),COUNTIF(Tabelle1[Gesamt],1)+1-ROW(A1))),"")</f>
        <v>525</v>
      </c>
      <c r="D115" s="5" t="str">
        <f t="array" aca="1" ref="D115" ca="1">IFERROR(INDEX(Tabelle1[Bezeichnung 1],LARGE((Tabelle1[Gesamt]=$L$81)*(ROW(Tabelle1[Gesamt])-1),COUNTIF(Tabelle1[Gesamt],1)+1-ROW(A1))),Sprache!A75)</f>
        <v>TIOMOS hinge TS-Click-on</v>
      </c>
      <c r="E115" s="5" t="str">
        <f t="array" aca="1" ref="E115" ca="1">IFERROR(INDEX(Tabelle1[Bezeichnung 2],LARGE((Tabelle1[Gesamt]=$L$81)*(ROW(Tabelle1[Gesamt])-1),COUNTIF(Tabelle1[Gesamt],1)+1-ROW(A1))),"")</f>
        <v>110°, B-BB, K95, Dowel, ni</v>
      </c>
      <c r="F115" s="5" t="str">
        <f t="array" aca="1" ref="F115" ca="1">IFERROR(INDEX(Tabelle1[Bezeichnung TGr],LARGE((Tabelle1[Gesamt]=$L$81)*(ROW(Tabelle1[Gesamt])-1),COUNTIF(Tabelle1[Gesamt],1)+1-ROW(A1))),Sprache!A71)</f>
        <v>TIOMOS Click-on hinges</v>
      </c>
    </row>
    <row r="116" spans="1:14" x14ac:dyDescent="0.25">
      <c r="A116" s="5" t="str">
        <f t="array" aca="1" ref="A116" ca="1">IFERROR(INDEX(Tabelle1[Spalte3],LARGE((Tabelle1[Gesamt]=$L$81)*(ROW(Tabelle1[Gesamt])-1),COUNTIF(Tabelle1[Gesamt],1)+1-ROW(A2))),"")</f>
        <v/>
      </c>
      <c r="B116" s="5" t="str">
        <f t="array" aca="1" ref="B116" ca="1">IFERROR(INDEX(Tabelle1[Spalte2],LARGE((Tabelle1[Gesamt]=$L$81)*(ROW(Tabelle1[Gesamt])-1),COUNTIF(Tabelle1[Gesamt],1)+1-ROW(A2))),"")</f>
        <v/>
      </c>
      <c r="C116" s="5" t="str">
        <f t="array" aca="1" ref="C116" ca="1">IFERROR(INDEX(Tabelle1[Spalte1],LARGE((Tabelle1[Gesamt]=$L$81)*(ROW(Tabelle1[Gesamt])-1),COUNTIF(Tabelle1[Gesamt],1)+1-ROW(A2))),"")</f>
        <v/>
      </c>
      <c r="D116" s="5" t="str">
        <f t="array" aca="1" ref="D116" ca="1">IFERROR(INDEX(Tabelle1[Bezeichnung 1],LARGE((Tabelle1[Gesamt]=$L$81)*(ROW(Tabelle1[Gesamt])-1),COUNTIF(Tabelle1[Gesamt],1)+1-ROW(A2))),"")</f>
        <v/>
      </c>
      <c r="E116" s="5" t="str">
        <f t="array" aca="1" ref="E116" ca="1">IFERROR(INDEX(Tabelle1[Bezeichnung 2],LARGE((Tabelle1[Gesamt]=$L$81)*(ROW(Tabelle1[Gesamt])-1),COUNTIF(Tabelle1[Gesamt],1)+1-ROW(A2))),"")</f>
        <v/>
      </c>
      <c r="F116" s="5" t="str">
        <f t="array" aca="1" ref="F116" ca="1">IFERROR(INDEX(Tabelle1[Bezeichnung TGr],LARGE((Tabelle1[Gesamt]=$L$81)*(ROW(Tabelle1[Gesamt])-1),COUNTIF(Tabelle1[Gesamt],1)+1-ROW(A2))),"")</f>
        <v/>
      </c>
    </row>
    <row r="117" spans="1:14" x14ac:dyDescent="0.25">
      <c r="A117" s="5" t="str">
        <f t="array" aca="1" ref="A117" ca="1">IFERROR(INDEX(Tabelle1[Spalte3],LARGE((Tabelle1[Gesamt]=$L$81)*(ROW(Tabelle1[Gesamt])-1),COUNTIF(Tabelle1[Gesamt],1)+1-ROW(A3))),"")</f>
        <v/>
      </c>
      <c r="B117" s="5" t="str">
        <f t="array" aca="1" ref="B117" ca="1">IFERROR(INDEX(Tabelle1[Spalte2],LARGE((Tabelle1[Gesamt]=$L$81)*(ROW(Tabelle1[Gesamt])-1),COUNTIF(Tabelle1[Gesamt],1)+1-ROW(A3))),"")</f>
        <v/>
      </c>
      <c r="C117" s="5" t="str">
        <f t="array" aca="1" ref="C117" ca="1">IFERROR(INDEX(Tabelle1[Spalte1],LARGE((Tabelle1[Gesamt]=$L$81)*(ROW(Tabelle1[Gesamt])-1),COUNTIF(Tabelle1[Gesamt],1)+1-ROW(A3))),"")</f>
        <v/>
      </c>
      <c r="D117" s="5" t="str">
        <f t="array" aca="1" ref="D117" ca="1">IFERROR(INDEX(Tabelle1[Bezeichnung 1],LARGE((Tabelle1[Gesamt]=$L$81)*(ROW(Tabelle1[Gesamt])-1),COUNTIF(Tabelle1[Gesamt],1)+1-ROW(A3))),"")</f>
        <v/>
      </c>
      <c r="E117" s="5" t="str">
        <f t="array" aca="1" ref="E117" ca="1">IFERROR(INDEX(Tabelle1[Bezeichnung 2],LARGE((Tabelle1[Gesamt]=$L$81)*(ROW(Tabelle1[Gesamt])-1),COUNTIF(Tabelle1[Gesamt],1)+1-ROW(A3))),"")</f>
        <v/>
      </c>
      <c r="F117" s="5" t="str">
        <f t="array" aca="1" ref="F117" ca="1">IFERROR(INDEX(Tabelle1[Bezeichnung TGr],LARGE((Tabelle1[Gesamt]=$L$81)*(ROW(Tabelle1[Gesamt])-1),COUNTIF(Tabelle1[Gesamt],1)+1-ROW(A3))),"")</f>
        <v/>
      </c>
    </row>
    <row r="118" spans="1:14" x14ac:dyDescent="0.25">
      <c r="A118" s="5" t="str">
        <f t="array" aca="1" ref="A118" ca="1">IFERROR(INDEX(Tabelle1[Spalte3],LARGE((Tabelle1[Gesamt]=$L$81)*(ROW(Tabelle1[Gesamt])-1),COUNTIF(Tabelle1[Gesamt],1)+1-ROW(A4))),"")</f>
        <v/>
      </c>
      <c r="B118" s="5" t="str">
        <f t="array" aca="1" ref="B118" ca="1">IFERROR(INDEX(Tabelle1[Spalte2],LARGE((Tabelle1[Gesamt]=$L$81)*(ROW(Tabelle1[Gesamt])-1),COUNTIF(Tabelle1[Gesamt],1)+1-ROW(A4))),"")</f>
        <v/>
      </c>
      <c r="C118" s="5" t="str">
        <f t="array" aca="1" ref="C118" ca="1">IFERROR(INDEX(Tabelle1[Spalte1],LARGE((Tabelle1[Gesamt]=$L$81)*(ROW(Tabelle1[Gesamt])-1),COUNTIF(Tabelle1[Gesamt],1)+1-ROW(A4))),"")</f>
        <v/>
      </c>
      <c r="D118" s="5" t="str">
        <f t="array" aca="1" ref="D118" ca="1">IFERROR(INDEX(Tabelle1[Bezeichnung 1],LARGE((Tabelle1[Gesamt]=$L$81)*(ROW(Tabelle1[Gesamt])-1),COUNTIF(Tabelle1[Gesamt],1)+1-ROW(A4))),"")</f>
        <v/>
      </c>
      <c r="E118" s="5" t="str">
        <f t="array" aca="1" ref="E118" ca="1">IFERROR(INDEX(Tabelle1[Bezeichnung 2],LARGE((Tabelle1[Gesamt]=$L$81)*(ROW(Tabelle1[Gesamt])-1),COUNTIF(Tabelle1[Gesamt],1)+1-ROW(A4))),"")</f>
        <v/>
      </c>
      <c r="F118" s="5" t="str">
        <f t="array" aca="1" ref="F118" ca="1">IFERROR(INDEX(Tabelle1[Bezeichnung TGr],LARGE((Tabelle1[Gesamt]=$L$81)*(ROW(Tabelle1[Gesamt])-1),COUNTIF(Tabelle1[Gesamt],1)+1-ROW(A4))),"")</f>
        <v/>
      </c>
    </row>
    <row r="119" spans="1:14" x14ac:dyDescent="0.25">
      <c r="A119" s="5" t="str">
        <f t="array" aca="1" ref="A119" ca="1">IFERROR(INDEX(Tabelle1[Spalte3],LARGE((Tabelle1[Gesamt]=$L$81)*(ROW(Tabelle1[Gesamt])-1),COUNTIF(Tabelle1[Gesamt],1)+1-ROW(A5))),"")</f>
        <v/>
      </c>
      <c r="B119" s="5" t="str">
        <f t="array" aca="1" ref="B119" ca="1">IFERROR(INDEX(Tabelle1[Spalte2],LARGE((Tabelle1[Gesamt]=$L$81)*(ROW(Tabelle1[Gesamt])-1),COUNTIF(Tabelle1[Gesamt],1)+1-ROW(A5))),"")</f>
        <v/>
      </c>
      <c r="C119" s="5" t="str">
        <f t="array" aca="1" ref="C119" ca="1">IFERROR(INDEX(Tabelle1[Spalte1],LARGE((Tabelle1[Gesamt]=$L$81)*(ROW(Tabelle1[Gesamt])-1),COUNTIF(Tabelle1[Gesamt],1)+1-ROW(A5))),"")</f>
        <v/>
      </c>
      <c r="D119" s="5" t="str">
        <f t="array" aca="1" ref="D119" ca="1">IFERROR(INDEX(Tabelle1[Bezeichnung 1],LARGE((Tabelle1[Gesamt]=$L$81)*(ROW(Tabelle1[Gesamt])-1),COUNTIF(Tabelle1[Gesamt],1)+1-ROW(A5))),"")</f>
        <v/>
      </c>
      <c r="E119" s="5" t="str">
        <f t="array" aca="1" ref="E119" ca="1">IFERROR(INDEX(Tabelle1[Bezeichnung 2],LARGE((Tabelle1[Gesamt]=$L$81)*(ROW(Tabelle1[Gesamt])-1),COUNTIF(Tabelle1[Gesamt],1)+1-ROW(A5))),"")</f>
        <v/>
      </c>
      <c r="F119" s="5" t="str">
        <f t="array" aca="1" ref="F119" ca="1">IFERROR(INDEX(Tabelle1[Bezeichnung TGr],LARGE((Tabelle1[Gesamt]=$L$81)*(ROW(Tabelle1[Gesamt])-1),COUNTIF(Tabelle1[Gesamt],1)+1-ROW(A5))),"")</f>
        <v/>
      </c>
    </row>
    <row r="120" spans="1:14" x14ac:dyDescent="0.25">
      <c r="A120" s="55"/>
      <c r="B120" s="55"/>
      <c r="C120" s="55"/>
      <c r="D120" s="55"/>
      <c r="E120" s="55"/>
      <c r="F120" s="55"/>
    </row>
    <row r="123" spans="1:14" x14ac:dyDescent="0.25">
      <c r="A123" t="s">
        <v>27</v>
      </c>
      <c r="C123" t="s">
        <v>50</v>
      </c>
    </row>
    <row r="124" spans="1:14" x14ac:dyDescent="0.25">
      <c r="A124" s="5" t="str">
        <f t="array" aca="1" ref="A124" ca="1">IFERROR(INDEX(select!$F$100:$F$110,LARGE((select!$G$100:$G$110=select!$L$81)*(ROW(select!$G$100:$G$110)-99),COUNTIF(select!$G$100:$G$110,1)+1-ROW(A1))),Sprache!A71)</f>
        <v>TIOMOS mounting plates</v>
      </c>
      <c r="B124" s="5"/>
      <c r="C124" s="5" t="str">
        <f t="array" aca="1" ref="C124" ca="1">IFERROR(INDEX(select!$D$100:$D$110,LARGE((select!$G$100:$G$110=select!$L$81)*(ROW(select!$G$100:$G$110)-99),COUNTIF(select!$G$100:$G$110,1)+1-ROW(A1))),Sprache!A75)</f>
        <v>1D Cross mounting plate TIOMOS</v>
      </c>
      <c r="D124" s="5"/>
      <c r="E124" s="5"/>
      <c r="F124" s="5" t="str">
        <f t="array" aca="1" ref="F124" ca="1">IFERROR(INDEX(select!$E$100:$E$110,LARGE((select!$G$100:$G$110=select!$L$81)*(ROW(select!$G$100:$G$110)-99),COUNTIF(select!$G$100:$G$110,1)+1-ROW(A1))),"")</f>
        <v>H 35, Euro, ni /37</v>
      </c>
      <c r="G124" s="5"/>
      <c r="H124" s="5">
        <f t="array" aca="1" ref="H124" ca="1">IFERROR(INDEX(select!$I$100:$I$110,LARGE((select!$G$100:$G$110=select!$L$81)*(ROW(select!$G$100:$G$110)-99),COUNTIF(select!$G$100:$G$110,1)+1-ROW(A1))),"")</f>
        <v>3.5</v>
      </c>
      <c r="I124" s="5" t="str">
        <f t="array" aca="1" ref="I124" ca="1">IFERROR(INDEX(select!$A$100:$A$110,LARGE((select!$G$100:$G$110=select!$L$81)*(ROW(select!$G$100:$G$110)-99),COUNTIF(select!$G$100:$G$110,1)+1-ROW(A1))),"")</f>
        <v>F058</v>
      </c>
      <c r="J124" s="5" t="str">
        <f t="array" aca="1" ref="J124" ca="1">IFERROR(INDEX(select!$B$100:$B$110,LARGE((select!$G$100:$G$110=select!$L$81)*(ROW(select!$G$100:$G$110)-99),COUNTIF(select!$G$100:$G$110,1)+1-ROW(A1))),"")</f>
        <v>139</v>
      </c>
      <c r="K124" s="5" t="str">
        <f t="array" aca="1" ref="K124" ca="1">IFERROR(INDEX(select!$C$100:$C$110,LARGE((select!$G$100:$G$110=select!$L$81)*(ROW(select!$G$100:$G$110)-99),COUNTIF(select!$G$100:$G$110,1)+1-ROW(A1))),"")</f>
        <v>759</v>
      </c>
      <c r="M124">
        <v>1</v>
      </c>
      <c r="N124" t="s">
        <v>973</v>
      </c>
    </row>
    <row r="125" spans="1:14" x14ac:dyDescent="0.25">
      <c r="A125" s="5" t="str">
        <f t="array" aca="1" ref="A125" ca="1">IFERROR(INDEX(select!$F$100:$F$110,LARGE((select!$G$100:$G$110=select!$L$81)*(ROW(select!$G$100:$G$110)-99),COUNTIF(select!$G$100:$G$110,1)+1-ROW(A2))),"")</f>
        <v/>
      </c>
      <c r="B125" s="5"/>
      <c r="C125" s="5" t="str">
        <f t="array" aca="1" ref="C125" ca="1">IFERROR(INDEX(select!$D$100:$D$110,LARGE((select!$G$100:$G$110=select!$L$81)*(ROW(select!$G$100:$G$110)-99),COUNTIF(select!$G$100:$G$110,1)+1-ROW(A2))),"")</f>
        <v/>
      </c>
      <c r="D125" s="5"/>
      <c r="E125" s="5"/>
      <c r="F125" s="5" t="str">
        <f t="array" aca="1" ref="F125" ca="1">IFERROR(INDEX(select!$E$100:$E$110,LARGE((select!$G$100:$G$110=select!$L$81)*(ROW(select!$G$100:$G$110)-99),COUNTIF(select!$G$100:$G$110,1)+1-ROW(A2))),"")</f>
        <v/>
      </c>
      <c r="G125" s="5"/>
      <c r="H125" s="5" t="str">
        <f t="array" aca="1" ref="H125" ca="1">IFERROR(INDEX(select!$I$100:$I$110,LARGE((select!$G$100:$G$110=select!$L$81)*(ROW(select!$G$100:$G$110)-99),COUNTIF(select!$G$100:$G$110,1)+1-ROW(A2))),"")</f>
        <v/>
      </c>
      <c r="I125" s="5" t="str">
        <f t="array" aca="1" ref="I125" ca="1">IFERROR(INDEX(select!$A$100:$A$110,LARGE((select!$G$100:$G$110=select!$L$81)*(ROW(select!$G$100:$G$110)-99),COUNTIF(select!$G$100:$G$110,1)+1-ROW(A2))),"")</f>
        <v/>
      </c>
      <c r="J125" s="5" t="str">
        <f t="array" aca="1" ref="J125" ca="1">IFERROR(INDEX(select!$B$100:$B$110,LARGE((select!$G$100:$G$110=select!$L$81)*(ROW(select!$G$100:$G$110)-99),COUNTIF(select!$G$100:$G$110,1)+1-ROW(A2))),"")</f>
        <v/>
      </c>
      <c r="K125" s="5" t="str">
        <f t="array" aca="1" ref="K125" ca="1">IFERROR(INDEX(select!$C$100:$C$110,LARGE((select!$G$100:$G$110=select!$L$81)*(ROW(select!$G$100:$G$110)-99),COUNTIF(select!$G$100:$G$110,1)+1-ROW(A2))),"")</f>
        <v/>
      </c>
      <c r="M125">
        <v>1</v>
      </c>
      <c r="N125" t="s">
        <v>50</v>
      </c>
    </row>
    <row r="126" spans="1:14" x14ac:dyDescent="0.25">
      <c r="A126" s="5" t="str">
        <f t="array" aca="1" ref="A126" ca="1">IFERROR(INDEX(select!$F$100:$F$110,LARGE((select!$G$100:$G$110=select!$L$81)*(ROW(select!$G$100:$G$110)-99),COUNTIF(select!$G$100:$G$110,1)+1-ROW(A3))),"")</f>
        <v/>
      </c>
      <c r="B126" s="5"/>
      <c r="C126" s="5" t="str">
        <f t="array" aca="1" ref="C126" ca="1">IFERROR(INDEX(select!$D$100:$D$110,LARGE((select!$G$100:$G$110=select!$L$81)*(ROW(select!$G$100:$G$110)-99),COUNTIF(select!$G$100:$G$110,1)+1-ROW(A3))),"")</f>
        <v/>
      </c>
      <c r="D126" s="5"/>
      <c r="E126" s="5"/>
      <c r="F126" s="5" t="str">
        <f t="array" aca="1" ref="F126" ca="1">IFERROR(INDEX(select!$E$100:$E$110,LARGE((select!$G$100:$G$110=select!$L$81)*(ROW(select!$G$100:$G$110)-99),COUNTIF(select!$G$100:$G$110,1)+1-ROW(A3))),"")</f>
        <v/>
      </c>
      <c r="G126" s="5"/>
      <c r="H126" s="5" t="str">
        <f t="array" aca="1" ref="H126" ca="1">IFERROR(INDEX(select!$I$100:$I$110,LARGE((select!$G$100:$G$110=select!$L$81)*(ROW(select!$G$100:$G$110)-99),COUNTIF(select!$G$100:$G$110,1)+1-ROW(A3))),"")</f>
        <v/>
      </c>
      <c r="I126" s="5" t="str">
        <f t="array" aca="1" ref="I126" ca="1">IFERROR(INDEX(select!$A$100:$A$110,LARGE((select!$G$100:$G$110=select!$L$81)*(ROW(select!$G$100:$G$110)-99),COUNTIF(select!$G$100:$G$110,1)+1-ROW(A3))),"")</f>
        <v/>
      </c>
      <c r="J126" s="5" t="str">
        <f t="array" aca="1" ref="J126" ca="1">IFERROR(INDEX(select!$B$100:$B$110,LARGE((select!$G$100:$G$110=select!$L$81)*(ROW(select!$G$100:$G$110)-99),COUNTIF(select!$G$100:$G$110,1)+1-ROW(A3))),"")</f>
        <v/>
      </c>
      <c r="K126" s="5" t="str">
        <f t="array" aca="1" ref="K126" ca="1">IFERROR(INDEX(select!$C$100:$C$110,LARGE((select!$G$100:$G$110=select!$L$81)*(ROW(select!$G$100:$G$110)-99),COUNTIF(select!$G$100:$G$110,1)+1-ROW(A3))),"")</f>
        <v/>
      </c>
      <c r="M126">
        <v>2</v>
      </c>
      <c r="N126" t="s">
        <v>51</v>
      </c>
    </row>
    <row r="127" spans="1:14" x14ac:dyDescent="0.25">
      <c r="A127" s="5" t="str">
        <f t="array" aca="1" ref="A127" ca="1">IFERROR(INDEX(select!$F$100:$F$110,LARGE((select!$G$100:$G$110=select!$L$81)*(ROW(select!$G$100:$G$110)-99),COUNTIF(select!$G$100:$G$110,1)+1-ROW(A4))),"")</f>
        <v/>
      </c>
      <c r="B127" s="5"/>
      <c r="C127" s="5" t="str">
        <f t="array" aca="1" ref="C127" ca="1">IFERROR(INDEX(select!$D$100:$D$110,LARGE((select!$G$100:$G$110=select!$L$81)*(ROW(select!$G$100:$G$110)-99),COUNTIF(select!$G$100:$G$110,1)+1-ROW(A4))),"")</f>
        <v/>
      </c>
      <c r="D127" s="5"/>
      <c r="E127" s="5"/>
      <c r="F127" s="5" t="str">
        <f t="array" aca="1" ref="F127" ca="1">IFERROR(INDEX(select!$E$100:$E$110,LARGE((select!$G$100:$G$110=select!$L$81)*(ROW(select!$G$100:$G$110)-99),COUNTIF(select!$G$100:$G$110,1)+1-ROW(A4))),"")</f>
        <v/>
      </c>
      <c r="G127" s="5"/>
      <c r="H127" s="5" t="str">
        <f t="array" aca="1" ref="H127" ca="1">IFERROR(INDEX(select!$I$100:$I$110,LARGE((select!$G$100:$G$110=select!$L$81)*(ROW(select!$G$100:$G$110)-99),COUNTIF(select!$G$100:$G$110,1)+1-ROW(A4))),"")</f>
        <v/>
      </c>
      <c r="I127" s="5" t="str">
        <f t="array" aca="1" ref="I127" ca="1">IFERROR(INDEX(select!$A$100:$A$110,LARGE((select!$G$100:$G$110=select!$L$81)*(ROW(select!$G$100:$G$110)-99),COUNTIF(select!$G$100:$G$110,1)+1-ROW(A4))),"")</f>
        <v/>
      </c>
      <c r="J127" s="5" t="str">
        <f t="array" aca="1" ref="J127" ca="1">IFERROR(INDEX(select!$B$100:$B$110,LARGE((select!$G$100:$G$110=select!$L$81)*(ROW(select!$G$100:$G$110)-99),COUNTIF(select!$G$100:$G$110,1)+1-ROW(A4))),"")</f>
        <v/>
      </c>
      <c r="K127" s="5" t="str">
        <f t="array" aca="1" ref="K127" ca="1">IFERROR(INDEX(select!$C$100:$C$110,LARGE((select!$G$100:$G$110=select!$L$81)*(ROW(select!$G$100:$G$110)-99),COUNTIF(select!$G$100:$G$110,1)+1-ROW(A4))),"")</f>
        <v/>
      </c>
    </row>
    <row r="128" spans="1:14" x14ac:dyDescent="0.25">
      <c r="A128" s="5" t="str">
        <f t="array" aca="1" ref="A128" ca="1">IFERROR(INDEX(select!$F$100:$F$110,LARGE((select!$G$100:$G$110=select!$L$81)*(ROW(select!$G$100:$G$110)-99),COUNTIF(select!$G$100:$G$110,1)+1-ROW(A5))),"")</f>
        <v/>
      </c>
      <c r="B128" s="5"/>
      <c r="C128" s="5" t="str">
        <f t="array" aca="1" ref="C128" ca="1">IFERROR(INDEX(select!$D$100:$D$110,LARGE((select!$G$100:$G$110=select!$L$81)*(ROW(select!$G$100:$G$110)-99),COUNTIF(select!$G$100:$G$110,1)+1-ROW(A5))),"")</f>
        <v/>
      </c>
      <c r="D128" s="5"/>
      <c r="E128" s="5"/>
      <c r="F128" s="5" t="str">
        <f t="array" aca="1" ref="F128" ca="1">IFERROR(INDEX(select!$E$100:$E$110,LARGE((select!$G$100:$G$110=select!$L$81)*(ROW(select!$G$100:$G$110)-99),COUNTIF(select!$G$100:$G$110,1)+1-ROW(A5))),"")</f>
        <v/>
      </c>
      <c r="G128" s="5"/>
      <c r="H128" s="5" t="str">
        <f t="array" aca="1" ref="H128" ca="1">IFERROR(INDEX(select!$I$100:$I$110,LARGE((select!$G$100:$G$110=select!$L$81)*(ROW(select!$G$100:$G$110)-99),COUNTIF(select!$G$100:$G$110,1)+1-ROW(A5))),"")</f>
        <v/>
      </c>
      <c r="I128" s="5" t="str">
        <f t="array" aca="1" ref="I128" ca="1">IFERROR(INDEX(select!$A$100:$A$110,LARGE((select!$G$100:$G$110=select!$L$81)*(ROW(select!$G$100:$G$110)-99),COUNTIF(select!$G$100:$G$110,1)+1-ROW(A5))),"")</f>
        <v/>
      </c>
      <c r="J128" s="5" t="str">
        <f t="array" aca="1" ref="J128" ca="1">IFERROR(INDEX(select!$B$100:$B$110,LARGE((select!$G$100:$G$110=select!$L$81)*(ROW(select!$G$100:$G$110)-99),COUNTIF(select!$G$100:$G$110,1)+1-ROW(A5))),"")</f>
        <v/>
      </c>
      <c r="K128" s="5" t="str">
        <f t="array" aca="1" ref="K128" ca="1">IFERROR(INDEX(select!$C$100:$C$110,LARGE((select!$G$100:$G$110=select!$L$81)*(ROW(select!$G$100:$G$110)-99),COUNTIF(select!$G$100:$G$110,1)+1-ROW(A5))),"")</f>
        <v/>
      </c>
    </row>
    <row r="130" spans="1:12" x14ac:dyDescent="0.25">
      <c r="A130" t="s">
        <v>27</v>
      </c>
      <c r="C130" t="s">
        <v>51</v>
      </c>
    </row>
    <row r="131" spans="1:12" x14ac:dyDescent="0.25">
      <c r="A131" s="5" t="str">
        <f t="array" aca="1" ref="A131" ca="1">IFERROR(INDEX(select!$F$100:$F$110,LARGE((select!$H$100:$H$110=1)*(ROW(select!$H$100:$H$110)-99),COUNTIF(select!$H$100:$H$110,1)+1-ROW(A1))),Sprache!A71)</f>
        <v>No solution…</v>
      </c>
      <c r="B131" s="5"/>
      <c r="C131" s="5" t="str">
        <f t="array" aca="1" ref="C131" ca="1">IFERROR(INDEX(select!$D$100:$D$110,LARGE((select!$H$100:$H$110=1)*(ROW(select!$H$100:$H$110)-99),COUNTIF(select!$H$100:$H$110,1)+1-ROW(A1))),Sprache!A75)</f>
        <v>change selection</v>
      </c>
      <c r="D131" s="5"/>
      <c r="E131" s="5"/>
      <c r="F131" s="5" t="str">
        <f t="array" aca="1" ref="F131" ca="1">IFERROR(INDEX(select!$E$100:$E$110,LARGE((select!$H$100:$H$110=1)*(ROW(select!$H$100:$H$110)-99),COUNTIF(select!$H$100:$H$110,1)+1-ROW(A1))),"")</f>
        <v/>
      </c>
      <c r="G131" s="5"/>
      <c r="H131" s="5" t="str">
        <f t="array" aca="1" ref="H131" ca="1">IFERROR(INDEX(select!$I$100:$I$110,LARGE((select!$H$100:$H$110=1)*(ROW(select!$H$100:$H$110)-99),COUNTIF(select!$H$100:$H$110,1)+1-ROW(A1))),"")</f>
        <v/>
      </c>
      <c r="I131" s="5" t="str">
        <f t="array" aca="1" ref="I131" ca="1">IFERROR(INDEX(select!$A$100:$A$110,LARGE((select!$H$100:$H$110=1)*(ROW(select!$H$100:$H$110)-99),COUNTIF(select!$H$100:$H$110,1)+1-ROW(A1))),"")</f>
        <v/>
      </c>
      <c r="J131" s="5" t="str">
        <f t="array" aca="1" ref="J131" ca="1">IFERROR(INDEX(select!$B$100:$B$110,LARGE((select!$H$100:$H$110=1)*(ROW(select!$H$100:$H$110)-99),COUNTIF(select!$H$100:$H$110,1)+1-ROW(A1))),"")</f>
        <v/>
      </c>
      <c r="K131" s="5" t="str">
        <f t="array" aca="1" ref="K131" ca="1">IFERROR(INDEX(select!$C$100:$C$110,LARGE((select!$H$100:$H$110=1)*(ROW(select!$H$100:$H$110)-99),COUNTIF(select!$H$100:$H$110,1)+1-ROW(A1))),"")</f>
        <v/>
      </c>
    </row>
    <row r="132" spans="1:12" x14ac:dyDescent="0.25">
      <c r="A132" s="5" t="str">
        <f t="array" aca="1" ref="A132" ca="1">IFERROR(INDEX(select!$F$100:$F$110,LARGE((select!$H$100:$H$110=1)*(ROW(select!$H$100:$H$110)-99),COUNTIF(select!$H$100:$H$110,1)+1-ROW(A2))),"")</f>
        <v/>
      </c>
      <c r="B132" s="5"/>
      <c r="C132" s="5" t="str">
        <f t="array" aca="1" ref="C132" ca="1">IFERROR(INDEX(select!$D$100:$D$110,LARGE((select!$H$100:$H$110=1)*(ROW(select!$H$100:$H$110)-99),COUNTIF(select!$H$100:$H$110,1)+1-ROW(A2))),"")</f>
        <v/>
      </c>
      <c r="D132" s="5"/>
      <c r="E132" s="5"/>
      <c r="F132" s="5" t="str">
        <f t="array" aca="1" ref="F132" ca="1">IFERROR(INDEX(select!$E$100:$E$110,LARGE((select!$H$100:$H$110=1)*(ROW(select!$H$100:$H$110)-99),COUNTIF(select!$H$100:$H$110,1)+1-ROW(A2))),"")</f>
        <v/>
      </c>
      <c r="G132" s="5"/>
      <c r="H132" s="5" t="str">
        <f t="array" aca="1" ref="H132" ca="1">IFERROR(INDEX(select!$I$100:$I$110,LARGE((select!$H$100:$H$110=1)*(ROW(select!$H$100:$H$110)-99),COUNTIF(select!$H$100:$H$110,1)+1-ROW(A2))),"")</f>
        <v/>
      </c>
      <c r="I132" s="5" t="str">
        <f t="array" aca="1" ref="I132" ca="1">IFERROR(INDEX(select!$A$100:$A$110,LARGE((select!$H$100:$H$110=1)*(ROW(select!$H$100:$H$110)-99),COUNTIF(select!$H$100:$H$110,1)+1-ROW(A2))),"")</f>
        <v/>
      </c>
      <c r="J132" s="5" t="str">
        <f t="array" aca="1" ref="J132" ca="1">IFERROR(INDEX(select!$B$100:$B$110,LARGE((select!$H$100:$H$110=1)*(ROW(select!$H$100:$H$110)-99),COUNTIF(select!$H$100:$H$110,1)+1-ROW(A2))),"")</f>
        <v/>
      </c>
      <c r="K132" s="5" t="str">
        <f t="array" aca="1" ref="K132" ca="1">IFERROR(INDEX(select!$C$100:$C$110,LARGE((select!$H$100:$H$110=1)*(ROW(select!$H$100:$H$110)-99),COUNTIF(select!$H$100:$H$110,1)+1-ROW(A2))),"")</f>
        <v/>
      </c>
    </row>
    <row r="133" spans="1:12" x14ac:dyDescent="0.25">
      <c r="A133" s="5" t="str">
        <f t="array" aca="1" ref="A133" ca="1">IFERROR(INDEX(select!$F$100:$F$110,LARGE((select!$H$100:$H$110=1)*(ROW(select!$H$100:$H$110)-99),COUNTIF(select!$H$100:$H$110,1)+1-ROW(A3))),"")</f>
        <v/>
      </c>
      <c r="B133" s="5"/>
      <c r="C133" s="5" t="str">
        <f t="array" aca="1" ref="C133" ca="1">IFERROR(INDEX(select!$D$100:$D$110,LARGE((select!$H$100:$H$110=1)*(ROW(select!$H$100:$H$110)-99),COUNTIF(select!$H$100:$H$110,1)+1-ROW(A3))),"")</f>
        <v/>
      </c>
      <c r="D133" s="5"/>
      <c r="E133" s="5"/>
      <c r="F133" s="5" t="str">
        <f t="array" aca="1" ref="F133" ca="1">IFERROR(INDEX(select!$E$100:$E$110,LARGE((select!$H$100:$H$110=1)*(ROW(select!$H$100:$H$110)-99),COUNTIF(select!$H$100:$H$110,1)+1-ROW(A3))),"")</f>
        <v/>
      </c>
      <c r="G133" s="5"/>
      <c r="H133" s="5" t="str">
        <f t="array" aca="1" ref="H133" ca="1">IFERROR(INDEX(select!$I$100:$I$110,LARGE((select!$H$100:$H$110=1)*(ROW(select!$H$100:$H$110)-99),COUNTIF(select!$H$100:$H$110,1)+1-ROW(A3))),"")</f>
        <v/>
      </c>
      <c r="I133" s="5" t="str">
        <f t="array" aca="1" ref="I133" ca="1">IFERROR(INDEX(select!$A$100:$A$110,LARGE((select!$H$100:$H$110=1)*(ROW(select!$H$100:$H$110)-99),COUNTIF(select!$H$100:$H$110,1)+1-ROW(A3))),"")</f>
        <v/>
      </c>
      <c r="J133" s="5" t="str">
        <f t="array" aca="1" ref="J133" ca="1">IFERROR(INDEX(select!$B$100:$B$110,LARGE((select!$H$100:$H$110=1)*(ROW(select!$H$100:$H$110)-99),COUNTIF(select!$H$100:$H$110,1)+1-ROW(A3))),"")</f>
        <v/>
      </c>
      <c r="K133" s="5" t="str">
        <f t="array" aca="1" ref="K133" ca="1">IFERROR(INDEX(select!$C$100:$C$110,LARGE((select!$H$100:$H$110=1)*(ROW(select!$H$100:$H$110)-99),COUNTIF(select!$H$100:$H$110,1)+1-ROW(A3))),"")</f>
        <v/>
      </c>
    </row>
    <row r="134" spans="1:12" x14ac:dyDescent="0.25">
      <c r="A134" s="5" t="str">
        <f t="array" aca="1" ref="A134" ca="1">IFERROR(INDEX(select!$F$100:$F$110,LARGE((select!$H$100:$H$110=1)*(ROW(select!$H$100:$H$110)-99),COUNTIF(select!$H$100:$H$110,1)+1-ROW(A4))),"")</f>
        <v/>
      </c>
      <c r="B134" s="5"/>
      <c r="C134" s="5" t="str">
        <f t="array" aca="1" ref="C134" ca="1">IFERROR(INDEX(select!$D$100:$D$110,LARGE((select!$H$100:$H$110=1)*(ROW(select!$H$100:$H$110)-99),COUNTIF(select!$H$100:$H$110,1)+1-ROW(A4))),"")</f>
        <v/>
      </c>
      <c r="D134" s="5"/>
      <c r="E134" s="5"/>
      <c r="F134" s="5" t="str">
        <f t="array" aca="1" ref="F134" ca="1">IFERROR(INDEX(select!$E$100:$E$110,LARGE((select!$H$100:$H$110=1)*(ROW(select!$H$100:$H$110)-99),COUNTIF(select!$H$100:$H$110,1)+1-ROW(A4))),"")</f>
        <v/>
      </c>
      <c r="G134" s="5"/>
      <c r="H134" s="5" t="str">
        <f t="array" aca="1" ref="H134" ca="1">IFERROR(INDEX(select!$I$100:$I$110,LARGE((select!$H$100:$H$110=1)*(ROW(select!$H$100:$H$110)-99),COUNTIF(select!$H$100:$H$110,1)+1-ROW(A4))),"")</f>
        <v/>
      </c>
      <c r="I134" s="5" t="str">
        <f t="array" aca="1" ref="I134" ca="1">IFERROR(INDEX(select!$A$100:$A$110,LARGE((select!$H$100:$H$110=1)*(ROW(select!$H$100:$H$110)-99),COUNTIF(select!$H$100:$H$110,1)+1-ROW(A4))),"")</f>
        <v/>
      </c>
      <c r="J134" s="5" t="str">
        <f t="array" aca="1" ref="J134" ca="1">IFERROR(INDEX(select!$B$100:$B$110,LARGE((select!$H$100:$H$110=1)*(ROW(select!$H$100:$H$110)-99),COUNTIF(select!$H$100:$H$110,1)+1-ROW(A4))),"")</f>
        <v/>
      </c>
      <c r="K134" s="5" t="str">
        <f t="array" aca="1" ref="K134" ca="1">IFERROR(INDEX(select!$C$100:$C$110,LARGE((select!$H$100:$H$110=1)*(ROW(select!$H$100:$H$110)-99),COUNTIF(select!$H$100:$H$110,1)+1-ROW(A4))),"")</f>
        <v/>
      </c>
    </row>
    <row r="135" spans="1:12" x14ac:dyDescent="0.25">
      <c r="A135" s="5" t="str">
        <f t="array" aca="1" ref="A135" ca="1">IFERROR(INDEX(select!$F$100:$F$110,LARGE((select!$H$100:$H$110=1)*(ROW(select!$H$100:$H$110)-99),COUNTIF(select!$H$100:$H$110,1)+1-ROW(A5))),"")</f>
        <v/>
      </c>
      <c r="B135" s="5"/>
      <c r="C135" s="5" t="str">
        <f t="array" aca="1" ref="C135" ca="1">IFERROR(INDEX(select!$D$100:$D$110,LARGE((select!$H$100:$H$110=1)*(ROW(select!$H$100:$H$110)-99),COUNTIF(select!$H$100:$H$110,1)+1-ROW(A5))),"")</f>
        <v/>
      </c>
      <c r="D135" s="5"/>
      <c r="E135" s="5"/>
      <c r="F135" s="5" t="str">
        <f t="array" aca="1" ref="F135" ca="1">IFERROR(INDEX(select!$E$100:$E$110,LARGE((select!$H$100:$H$110=1)*(ROW(select!$H$100:$H$110)-99),COUNTIF(select!$H$100:$H$110,1)+1-ROW(A5))),"")</f>
        <v/>
      </c>
      <c r="G135" s="5"/>
      <c r="H135" s="5" t="str">
        <f t="array" aca="1" ref="H135" ca="1">IFERROR(INDEX(select!$I$100:$I$110,LARGE((select!$H$100:$H$110=1)*(ROW(select!$H$100:$H$110)-99),COUNTIF(select!$H$100:$H$110,1)+1-ROW(A5))),"")</f>
        <v/>
      </c>
      <c r="I135" s="5" t="str">
        <f t="array" aca="1" ref="I135" ca="1">IFERROR(INDEX(select!$A$100:$A$110,LARGE((select!$H$100:$H$110=1)*(ROW(select!$H$100:$H$110)-99),COUNTIF(select!$H$100:$H$110,1)+1-ROW(A5))),"")</f>
        <v/>
      </c>
      <c r="J135" s="5" t="str">
        <f t="array" aca="1" ref="J135" ca="1">IFERROR(INDEX(select!$B$100:$B$110,LARGE((select!$H$100:$H$110=1)*(ROW(select!$H$100:$H$110)-99),COUNTIF(select!$H$100:$H$110,1)+1-ROW(A5))),"")</f>
        <v/>
      </c>
      <c r="K135" s="5" t="str">
        <f t="array" aca="1" ref="K135" ca="1">IFERROR(INDEX(select!$C$100:$C$110,LARGE((select!$H$100:$H$110=1)*(ROW(select!$H$100:$H$110)-99),COUNTIF(select!$H$100:$H$110,1)+1-ROW(A5))),"")</f>
        <v/>
      </c>
    </row>
    <row r="139" spans="1:12" x14ac:dyDescent="0.25">
      <c r="C139" t="s">
        <v>977</v>
      </c>
    </row>
    <row r="141" spans="1:12" x14ac:dyDescent="0.25">
      <c r="C141" t="s">
        <v>1459</v>
      </c>
      <c r="D141" t="s">
        <v>1458</v>
      </c>
      <c r="F141">
        <v>2</v>
      </c>
      <c r="G141" t="s">
        <v>1469</v>
      </c>
    </row>
    <row r="142" spans="1:12" x14ac:dyDescent="0.25">
      <c r="B142">
        <v>1</v>
      </c>
      <c r="C142" t="str">
        <f ca="1">Sprache!A99</f>
        <v>MDF material</v>
      </c>
      <c r="D142">
        <v>0.85</v>
      </c>
      <c r="F142">
        <v>1</v>
      </c>
      <c r="G142" t="str">
        <f ca="1">C142</f>
        <v>MDF material</v>
      </c>
      <c r="H142">
        <f>D142</f>
        <v>0.85</v>
      </c>
      <c r="J142" s="97" t="s">
        <v>1462</v>
      </c>
      <c r="K142" s="2" t="s">
        <v>1463</v>
      </c>
      <c r="L142" s="2" t="s">
        <v>1464</v>
      </c>
    </row>
    <row r="143" spans="1:12" x14ac:dyDescent="0.25">
      <c r="B143">
        <v>2</v>
      </c>
      <c r="C143" t="str">
        <f ca="1">Sprache!A100</f>
        <v>Chipboard</v>
      </c>
      <c r="D143">
        <v>0.65</v>
      </c>
      <c r="F143">
        <v>2</v>
      </c>
      <c r="G143" t="str">
        <f t="shared" ref="G143:H146" ca="1" si="10">C143</f>
        <v>Chipboard</v>
      </c>
      <c r="H143">
        <f t="shared" si="10"/>
        <v>0.65</v>
      </c>
      <c r="J143" s="2" t="s">
        <v>1460</v>
      </c>
      <c r="K143">
        <v>200</v>
      </c>
      <c r="L143">
        <v>1200</v>
      </c>
    </row>
    <row r="144" spans="1:12" x14ac:dyDescent="0.25">
      <c r="B144">
        <v>3</v>
      </c>
      <c r="C144" t="str">
        <f ca="1">Sprache!A101</f>
        <v>Spruce / Pine</v>
      </c>
      <c r="D144">
        <v>0.45</v>
      </c>
      <c r="F144">
        <v>3</v>
      </c>
      <c r="G144" t="str">
        <f t="shared" ca="1" si="10"/>
        <v>Spruce / Pine</v>
      </c>
      <c r="H144">
        <f t="shared" si="10"/>
        <v>0.45</v>
      </c>
      <c r="J144" s="2" t="s">
        <v>52</v>
      </c>
      <c r="K144">
        <v>250</v>
      </c>
      <c r="L144">
        <v>2500</v>
      </c>
    </row>
    <row r="145" spans="2:12" x14ac:dyDescent="0.25">
      <c r="B145">
        <v>4</v>
      </c>
      <c r="C145" t="str">
        <f ca="1">Sprache!A102</f>
        <v>Glass</v>
      </c>
      <c r="D145">
        <v>2.5</v>
      </c>
      <c r="F145">
        <v>4</v>
      </c>
      <c r="G145" t="str">
        <f t="shared" ca="1" si="10"/>
        <v>Glass</v>
      </c>
      <c r="H145">
        <f t="shared" si="10"/>
        <v>2.5</v>
      </c>
      <c r="J145" s="2" t="s">
        <v>1461</v>
      </c>
      <c r="K145">
        <v>0</v>
      </c>
      <c r="L145">
        <v>50</v>
      </c>
    </row>
    <row r="146" spans="2:12" x14ac:dyDescent="0.25">
      <c r="B146">
        <v>5</v>
      </c>
      <c r="C146" t="str">
        <f ca="1">Sprache!A103</f>
        <v>-----------------</v>
      </c>
      <c r="D146">
        <v>0</v>
      </c>
      <c r="F146">
        <v>5</v>
      </c>
      <c r="G146" t="str">
        <f t="shared" ca="1" si="10"/>
        <v>-----------------</v>
      </c>
      <c r="H146">
        <f t="shared" si="10"/>
        <v>0</v>
      </c>
      <c r="J146" s="2" t="s">
        <v>1466</v>
      </c>
      <c r="K146">
        <v>0.5</v>
      </c>
      <c r="L146">
        <v>22.1</v>
      </c>
    </row>
    <row r="147" spans="2:12" x14ac:dyDescent="0.25">
      <c r="B147">
        <v>6</v>
      </c>
      <c r="C147" t="str">
        <f ca="1">Sprache!A104</f>
        <v>Afromosia</v>
      </c>
      <c r="D147">
        <v>0.71</v>
      </c>
      <c r="F147">
        <v>6</v>
      </c>
      <c r="G147" t="str">
        <f ca="1">sort!E1</f>
        <v>Afromosia</v>
      </c>
      <c r="H147">
        <f ca="1">sort!F1</f>
        <v>0.71</v>
      </c>
    </row>
    <row r="148" spans="2:12" x14ac:dyDescent="0.25">
      <c r="B148">
        <v>7</v>
      </c>
      <c r="C148" t="str">
        <f ca="1">Sprache!A105</f>
        <v>Maple</v>
      </c>
      <c r="D148">
        <v>0.75</v>
      </c>
      <c r="F148">
        <v>7</v>
      </c>
      <c r="G148" t="str">
        <f ca="1">sort!E2</f>
        <v>Alder</v>
      </c>
      <c r="H148">
        <f ca="1">sort!F2</f>
        <v>0.7</v>
      </c>
      <c r="J148" t="s">
        <v>1465</v>
      </c>
      <c r="K148" t="s">
        <v>1458</v>
      </c>
      <c r="L148" t="s">
        <v>976</v>
      </c>
    </row>
    <row r="149" spans="2:12" x14ac:dyDescent="0.25">
      <c r="B149">
        <v>8</v>
      </c>
      <c r="C149" t="str">
        <f ca="1">Sprache!A106</f>
        <v>Basswood</v>
      </c>
      <c r="D149">
        <v>0.6</v>
      </c>
      <c r="F149">
        <v>8</v>
      </c>
      <c r="G149" t="str">
        <f ca="1">sort!E3</f>
        <v>Apple</v>
      </c>
      <c r="H149">
        <f ca="1">sort!F3</f>
        <v>0.8</v>
      </c>
      <c r="J149">
        <f>Türgewicht!AQ29/10*Türgewicht!AQ30/10*Türgewicht!AQ31/10</f>
        <v>19200</v>
      </c>
      <c r="K149">
        <f>VLOOKUP(F141,F142:H185,3,FALSE)</f>
        <v>0.65</v>
      </c>
      <c r="L149">
        <f>ROUND(J149*K149/1000,2)</f>
        <v>12.48</v>
      </c>
    </row>
    <row r="150" spans="2:12" x14ac:dyDescent="0.25">
      <c r="B150">
        <v>9</v>
      </c>
      <c r="C150" t="str">
        <f ca="1">Sprache!A107</f>
        <v>Apple</v>
      </c>
      <c r="D150">
        <v>0.8</v>
      </c>
      <c r="F150">
        <v>9</v>
      </c>
      <c r="G150" t="str">
        <f ca="1">sort!E4</f>
        <v>Ash</v>
      </c>
      <c r="H150">
        <f ca="1">sort!F4</f>
        <v>0.71</v>
      </c>
    </row>
    <row r="151" spans="2:12" x14ac:dyDescent="0.25">
      <c r="B151">
        <v>10</v>
      </c>
      <c r="C151" t="str">
        <f ca="1">Sprache!A108</f>
        <v>Balsa</v>
      </c>
      <c r="D151">
        <v>0.16</v>
      </c>
      <c r="F151">
        <v>10</v>
      </c>
      <c r="G151" t="str">
        <f ca="1">sort!E5</f>
        <v>Aspen</v>
      </c>
      <c r="H151">
        <f ca="1">sort!F5</f>
        <v>0.42</v>
      </c>
    </row>
    <row r="152" spans="2:12" x14ac:dyDescent="0.25">
      <c r="B152">
        <v>11</v>
      </c>
      <c r="C152" t="str">
        <f ca="1">Sprache!A109</f>
        <v>Bamboo</v>
      </c>
      <c r="D152">
        <v>0.4</v>
      </c>
      <c r="F152">
        <v>11</v>
      </c>
      <c r="G152" t="str">
        <f ca="1">sort!E6</f>
        <v>Balsa</v>
      </c>
      <c r="H152">
        <f ca="1">sort!F6</f>
        <v>0.16</v>
      </c>
    </row>
    <row r="153" spans="2:12" x14ac:dyDescent="0.25">
      <c r="B153">
        <v>12</v>
      </c>
      <c r="C153" t="str">
        <f ca="1">Sprache!A110</f>
        <v>Birch</v>
      </c>
      <c r="D153">
        <v>0.67</v>
      </c>
      <c r="F153">
        <v>12</v>
      </c>
      <c r="G153" t="str">
        <f ca="1">sort!E7</f>
        <v>Bamboo</v>
      </c>
      <c r="H153">
        <f ca="1">sort!F7</f>
        <v>0.4</v>
      </c>
    </row>
    <row r="154" spans="2:12" x14ac:dyDescent="0.25">
      <c r="B154">
        <v>13</v>
      </c>
      <c r="C154" t="str">
        <f ca="1">Sprache!A111</f>
        <v>Pear</v>
      </c>
      <c r="D154">
        <v>0.7</v>
      </c>
      <c r="F154">
        <v>13</v>
      </c>
      <c r="G154" t="str">
        <f ca="1">sort!E8</f>
        <v>Basswood</v>
      </c>
      <c r="H154">
        <f ca="1">sort!F8</f>
        <v>0.6</v>
      </c>
    </row>
    <row r="155" spans="2:12" x14ac:dyDescent="0.25">
      <c r="B155">
        <v>14</v>
      </c>
      <c r="C155" t="str">
        <f ca="1">Sprache!A112</f>
        <v>Beech</v>
      </c>
      <c r="D155">
        <v>0.9</v>
      </c>
      <c r="F155">
        <v>14</v>
      </c>
      <c r="G155" t="str">
        <f ca="1">sort!E9</f>
        <v>Beech</v>
      </c>
      <c r="H155">
        <f ca="1">sort!F9</f>
        <v>0.9</v>
      </c>
      <c r="J155" t="s">
        <v>1468</v>
      </c>
    </row>
    <row r="156" spans="2:12" x14ac:dyDescent="0.25">
      <c r="B156">
        <v>15</v>
      </c>
      <c r="C156" t="str">
        <f ca="1">Sprache!A113</f>
        <v>Douglas Fir</v>
      </c>
      <c r="D156">
        <v>0.53</v>
      </c>
      <c r="F156">
        <v>15</v>
      </c>
      <c r="G156" t="str">
        <f ca="1">sort!E10</f>
        <v>Birch</v>
      </c>
      <c r="H156">
        <f ca="1">sort!F10</f>
        <v>0.67</v>
      </c>
      <c r="J156">
        <v>6</v>
      </c>
      <c r="K156">
        <v>2</v>
      </c>
    </row>
    <row r="157" spans="2:12" x14ac:dyDescent="0.25">
      <c r="B157">
        <v>16</v>
      </c>
      <c r="C157" t="str">
        <f ca="1">Sprache!A114</f>
        <v>Ebony</v>
      </c>
      <c r="D157">
        <v>1.3</v>
      </c>
      <c r="F157">
        <v>16</v>
      </c>
      <c r="G157" t="str">
        <f ca="1">sort!E11</f>
        <v>Cedar</v>
      </c>
      <c r="H157">
        <f ca="1">sort!F11</f>
        <v>0.57999999999999996</v>
      </c>
      <c r="J157">
        <v>10</v>
      </c>
      <c r="K157">
        <v>3</v>
      </c>
    </row>
    <row r="158" spans="2:12" x14ac:dyDescent="0.25">
      <c r="B158">
        <v>17</v>
      </c>
      <c r="C158" t="str">
        <f ca="1">Sprache!A115</f>
        <v>Alder</v>
      </c>
      <c r="D158">
        <v>0.7</v>
      </c>
      <c r="F158">
        <v>17</v>
      </c>
      <c r="G158" t="str">
        <f ca="1">sort!E12</f>
        <v>Cherry</v>
      </c>
      <c r="H158">
        <f ca="1">sort!F12</f>
        <v>0.63</v>
      </c>
      <c r="J158">
        <v>17</v>
      </c>
      <c r="K158">
        <v>4</v>
      </c>
    </row>
    <row r="159" spans="2:12" x14ac:dyDescent="0.25">
      <c r="B159">
        <v>18</v>
      </c>
      <c r="C159" t="str">
        <f ca="1">Sprache!A116</f>
        <v>Ash</v>
      </c>
      <c r="D159">
        <v>0.71</v>
      </c>
      <c r="F159">
        <v>18</v>
      </c>
      <c r="G159" t="str">
        <f ca="1">sort!E13</f>
        <v>Chestnut</v>
      </c>
      <c r="H159">
        <f ca="1">sort!F13</f>
        <v>0.56000000000000005</v>
      </c>
      <c r="J159">
        <v>22</v>
      </c>
      <c r="K159">
        <v>5</v>
      </c>
    </row>
    <row r="160" spans="2:12" x14ac:dyDescent="0.25">
      <c r="B160">
        <v>19</v>
      </c>
      <c r="C160" t="str">
        <f ca="1">Sprache!A117</f>
        <v>Aspen</v>
      </c>
      <c r="D160">
        <v>0.42</v>
      </c>
      <c r="F160">
        <v>19</v>
      </c>
      <c r="G160" t="str">
        <f ca="1">sort!E14</f>
        <v>Cottonwood</v>
      </c>
      <c r="H160">
        <f ca="1">sort!F14</f>
        <v>0.41</v>
      </c>
    </row>
    <row r="161" spans="2:10" x14ac:dyDescent="0.25">
      <c r="B161">
        <v>20</v>
      </c>
      <c r="C161" t="str">
        <f ca="1">Sprache!A118</f>
        <v>Spruce</v>
      </c>
      <c r="D161">
        <v>0.45</v>
      </c>
      <c r="F161">
        <v>20</v>
      </c>
      <c r="G161" t="str">
        <f ca="1">sort!E15</f>
        <v>Cypress</v>
      </c>
      <c r="H161">
        <f ca="1">sort!F15</f>
        <v>0.51</v>
      </c>
      <c r="J161">
        <f>Türgewicht!AQ33</f>
        <v>12.48</v>
      </c>
    </row>
    <row r="162" spans="2:10" x14ac:dyDescent="0.25">
      <c r="B162">
        <v>21</v>
      </c>
      <c r="C162" t="str">
        <f ca="1">Sprache!A119</f>
        <v>Gaboon</v>
      </c>
      <c r="D162">
        <v>0.43</v>
      </c>
      <c r="F162">
        <v>21</v>
      </c>
      <c r="G162" t="str">
        <f ca="1">sort!E16</f>
        <v>Douglas Fir</v>
      </c>
      <c r="H162">
        <f ca="1">sort!F16</f>
        <v>0.53</v>
      </c>
      <c r="J162" s="5">
        <f>IF(J161&lt;=J156,K156,IF(AND(J161&lt;=J157,J161&gt;J156)=TRUE,K157,IF(AND(J161&lt;=J158,J161&gt;J157)=TRUE,K158,IF(AND(J161&lt;=J159,J161&gt;J158)=TRUE,K159,K159))))</f>
        <v>4</v>
      </c>
    </row>
    <row r="163" spans="2:10" x14ac:dyDescent="0.25">
      <c r="B163">
        <v>22</v>
      </c>
      <c r="C163" t="str">
        <f ca="1">Sprache!A120</f>
        <v>Hemlock</v>
      </c>
      <c r="D163">
        <v>0.5</v>
      </c>
      <c r="F163">
        <v>22</v>
      </c>
      <c r="G163" t="str">
        <f ca="1">sort!E17</f>
        <v>Ebony</v>
      </c>
      <c r="H163">
        <f ca="1">sort!F17</f>
        <v>1.3</v>
      </c>
    </row>
    <row r="164" spans="2:10" x14ac:dyDescent="0.25">
      <c r="B164">
        <v>23</v>
      </c>
      <c r="C164" t="str">
        <f ca="1">Sprache!A121</f>
        <v>Iroko</v>
      </c>
      <c r="D164">
        <v>0.66</v>
      </c>
      <c r="F164">
        <v>23</v>
      </c>
      <c r="G164" t="str">
        <f ca="1">sort!E18</f>
        <v>Elm</v>
      </c>
      <c r="H164">
        <f ca="1">sort!F18</f>
        <v>0.82</v>
      </c>
    </row>
    <row r="165" spans="2:10" x14ac:dyDescent="0.25">
      <c r="B165">
        <v>24</v>
      </c>
      <c r="C165" t="str">
        <f ca="1">Sprache!A122</f>
        <v>Chestnut</v>
      </c>
      <c r="D165">
        <v>0.56000000000000005</v>
      </c>
      <c r="F165">
        <v>24</v>
      </c>
      <c r="G165" t="str">
        <f ca="1">sort!E19</f>
        <v>Fir</v>
      </c>
      <c r="H165">
        <f ca="1">sort!F19</f>
        <v>0.41</v>
      </c>
    </row>
    <row r="166" spans="2:10" x14ac:dyDescent="0.25">
      <c r="B166">
        <v>25</v>
      </c>
      <c r="C166" t="str">
        <f ca="1">Sprache!A123</f>
        <v>Pine</v>
      </c>
      <c r="D166">
        <v>0.45</v>
      </c>
      <c r="F166">
        <v>25</v>
      </c>
      <c r="G166" t="str">
        <f ca="1">sort!E20</f>
        <v>Gaboon</v>
      </c>
      <c r="H166">
        <f ca="1">sort!F20</f>
        <v>0.43</v>
      </c>
    </row>
    <row r="167" spans="2:10" x14ac:dyDescent="0.25">
      <c r="B167">
        <v>26</v>
      </c>
      <c r="C167" t="str">
        <f ca="1">Sprache!A124</f>
        <v>Cherry</v>
      </c>
      <c r="D167">
        <v>0.63</v>
      </c>
      <c r="F167">
        <v>26</v>
      </c>
      <c r="G167" t="str">
        <f ca="1">sort!E21</f>
        <v>Hemlock</v>
      </c>
      <c r="H167">
        <f ca="1">sort!F21</f>
        <v>0.5</v>
      </c>
    </row>
    <row r="168" spans="2:10" x14ac:dyDescent="0.25">
      <c r="B168">
        <v>27</v>
      </c>
      <c r="C168" t="str">
        <f ca="1">Sprache!A125</f>
        <v>Larch</v>
      </c>
      <c r="D168">
        <v>0.55000000000000004</v>
      </c>
      <c r="F168">
        <v>27</v>
      </c>
      <c r="G168" t="str">
        <f ca="1">sort!E22</f>
        <v>Hickory</v>
      </c>
      <c r="H168">
        <f ca="1">sort!F22</f>
        <v>0.83</v>
      </c>
    </row>
    <row r="169" spans="2:10" x14ac:dyDescent="0.25">
      <c r="B169">
        <v>28</v>
      </c>
      <c r="C169" t="str">
        <f ca="1">Sprache!A126</f>
        <v>Mahogany</v>
      </c>
      <c r="D169">
        <v>0.85</v>
      </c>
      <c r="F169">
        <v>28</v>
      </c>
      <c r="G169" t="str">
        <f ca="1">sort!E23</f>
        <v>Iroko</v>
      </c>
      <c r="H169">
        <f ca="1">sort!F23</f>
        <v>0.66</v>
      </c>
    </row>
    <row r="170" spans="2:10" x14ac:dyDescent="0.25">
      <c r="B170">
        <v>29</v>
      </c>
      <c r="C170" t="str">
        <f ca="1">Sprache!A127</f>
        <v>Redwood</v>
      </c>
      <c r="D170">
        <v>0.51</v>
      </c>
      <c r="F170">
        <v>29</v>
      </c>
      <c r="G170" t="str">
        <f ca="1">sort!E24</f>
        <v>Larch</v>
      </c>
      <c r="H170">
        <f ca="1">sort!F24</f>
        <v>0.55000000000000004</v>
      </c>
    </row>
    <row r="171" spans="2:10" x14ac:dyDescent="0.25">
      <c r="B171">
        <v>30</v>
      </c>
      <c r="C171" t="str">
        <f ca="1">Sprache!A128</f>
        <v>Poplar</v>
      </c>
      <c r="D171">
        <v>0.5</v>
      </c>
      <c r="F171">
        <v>30</v>
      </c>
      <c r="G171" t="str">
        <f ca="1">sort!E25</f>
        <v>Lignum Vitae</v>
      </c>
      <c r="H171">
        <f ca="1">sort!F25</f>
        <v>1.33</v>
      </c>
    </row>
    <row r="172" spans="2:10" x14ac:dyDescent="0.25">
      <c r="B172">
        <v>31</v>
      </c>
      <c r="C172" t="str">
        <f ca="1">Sprache!A129</f>
        <v>Cottonwood</v>
      </c>
      <c r="D172">
        <v>0.41</v>
      </c>
      <c r="F172">
        <v>31</v>
      </c>
      <c r="G172" t="str">
        <f ca="1">sort!E26</f>
        <v>Locust</v>
      </c>
      <c r="H172">
        <f ca="1">sort!F26</f>
        <v>0.7</v>
      </c>
    </row>
    <row r="173" spans="2:10" x14ac:dyDescent="0.25">
      <c r="B173">
        <v>32</v>
      </c>
      <c r="C173" t="str">
        <f ca="1">Sprache!A130</f>
        <v>Pecan</v>
      </c>
      <c r="D173">
        <v>0.77</v>
      </c>
      <c r="F173">
        <v>32</v>
      </c>
      <c r="G173" t="str">
        <f ca="1">sort!E27</f>
        <v>Mahogany</v>
      </c>
      <c r="H173">
        <f ca="1">sort!F27</f>
        <v>0.85</v>
      </c>
    </row>
    <row r="174" spans="2:10" x14ac:dyDescent="0.25">
      <c r="B174">
        <v>33</v>
      </c>
      <c r="C174" t="str">
        <f ca="1">Sprache!A131</f>
        <v>Sycamore</v>
      </c>
      <c r="D174">
        <v>0.6</v>
      </c>
      <c r="F174">
        <v>33</v>
      </c>
      <c r="G174" t="str">
        <f ca="1">sort!E28</f>
        <v>Maple</v>
      </c>
      <c r="H174">
        <f ca="1">sort!F28</f>
        <v>0.75</v>
      </c>
    </row>
    <row r="175" spans="2:10" x14ac:dyDescent="0.25">
      <c r="B175">
        <v>34</v>
      </c>
      <c r="C175" t="str">
        <f ca="1">Sprache!A132</f>
        <v>Lignum Vitae</v>
      </c>
      <c r="D175">
        <v>1.33</v>
      </c>
      <c r="F175">
        <v>34</v>
      </c>
      <c r="G175" t="str">
        <f ca="1">sort!E29</f>
        <v>Particle Board</v>
      </c>
      <c r="H175">
        <f ca="1">sort!F29</f>
        <v>0.65</v>
      </c>
    </row>
    <row r="176" spans="2:10" x14ac:dyDescent="0.25">
      <c r="B176">
        <v>35</v>
      </c>
      <c r="C176" t="str">
        <f ca="1">Sprache!A133</f>
        <v>Ramin</v>
      </c>
      <c r="D176">
        <v>0.67</v>
      </c>
      <c r="F176">
        <v>35</v>
      </c>
      <c r="G176" t="str">
        <f ca="1">sort!E30</f>
        <v>Pear</v>
      </c>
      <c r="H176">
        <f ca="1">sort!F30</f>
        <v>0.7</v>
      </c>
    </row>
    <row r="177" spans="2:8" x14ac:dyDescent="0.25">
      <c r="B177">
        <v>36</v>
      </c>
      <c r="C177" t="str">
        <f ca="1">Sprache!A134</f>
        <v>Locust</v>
      </c>
      <c r="D177">
        <v>0.7</v>
      </c>
      <c r="F177">
        <v>36</v>
      </c>
      <c r="G177" t="str">
        <f ca="1">sort!E31</f>
        <v>Pecan</v>
      </c>
      <c r="H177">
        <f ca="1">sort!F31</f>
        <v>0.77</v>
      </c>
    </row>
    <row r="178" spans="2:8" x14ac:dyDescent="0.25">
      <c r="B178">
        <v>37</v>
      </c>
      <c r="C178" t="str">
        <f ca="1">Sprache!A135</f>
        <v>Particle Board</v>
      </c>
      <c r="D178">
        <v>0.65</v>
      </c>
      <c r="F178">
        <v>37</v>
      </c>
      <c r="G178" t="str">
        <f ca="1">sort!E32</f>
        <v>Pine</v>
      </c>
      <c r="H178">
        <f ca="1">sort!F32</f>
        <v>0.45</v>
      </c>
    </row>
    <row r="179" spans="2:8" x14ac:dyDescent="0.25">
      <c r="B179">
        <v>38</v>
      </c>
      <c r="C179" t="str">
        <f ca="1">Sprache!A136</f>
        <v>Fir</v>
      </c>
      <c r="D179">
        <v>0.41</v>
      </c>
      <c r="F179">
        <v>38</v>
      </c>
      <c r="G179" t="str">
        <f ca="1">sort!E33</f>
        <v>Poplar</v>
      </c>
      <c r="H179">
        <f ca="1">sort!F33</f>
        <v>0.5</v>
      </c>
    </row>
    <row r="180" spans="2:8" x14ac:dyDescent="0.25">
      <c r="B180">
        <v>39</v>
      </c>
      <c r="C180" t="str">
        <f ca="1">Sprache!A137</f>
        <v>Teak</v>
      </c>
      <c r="D180">
        <v>0.98</v>
      </c>
      <c r="F180">
        <v>39</v>
      </c>
      <c r="G180" t="str">
        <f ca="1">sort!E34</f>
        <v>Ramin</v>
      </c>
      <c r="H180">
        <f ca="1">sort!F34</f>
        <v>0.67</v>
      </c>
    </row>
    <row r="181" spans="2:8" x14ac:dyDescent="0.25">
      <c r="B181">
        <v>40</v>
      </c>
      <c r="C181" t="str">
        <f ca="1">Sprache!A138</f>
        <v>Elm</v>
      </c>
      <c r="D181">
        <v>0.82</v>
      </c>
      <c r="F181">
        <v>40</v>
      </c>
      <c r="G181" t="str">
        <f ca="1">sort!E35</f>
        <v>Redwood</v>
      </c>
      <c r="H181">
        <f ca="1">sort!F35</f>
        <v>0.51</v>
      </c>
    </row>
    <row r="182" spans="2:8" x14ac:dyDescent="0.25">
      <c r="B182">
        <v>41</v>
      </c>
      <c r="C182" t="str">
        <f ca="1">Sprache!A139</f>
        <v>Hickory</v>
      </c>
      <c r="D182">
        <v>0.83</v>
      </c>
      <c r="F182">
        <v>41</v>
      </c>
      <c r="G182" t="str">
        <f ca="1">sort!E36</f>
        <v>Spruce</v>
      </c>
      <c r="H182">
        <f ca="1">sort!F36</f>
        <v>0.45</v>
      </c>
    </row>
    <row r="183" spans="2:8" x14ac:dyDescent="0.25">
      <c r="B183">
        <v>42</v>
      </c>
      <c r="C183" t="str">
        <f ca="1">Sprache!A140</f>
        <v>Willow</v>
      </c>
      <c r="D183">
        <v>0.6</v>
      </c>
      <c r="F183">
        <v>42</v>
      </c>
      <c r="G183" t="str">
        <f ca="1">sort!E37</f>
        <v>Sycamore</v>
      </c>
      <c r="H183">
        <f ca="1">sort!F37</f>
        <v>0.6</v>
      </c>
    </row>
    <row r="184" spans="2:8" x14ac:dyDescent="0.25">
      <c r="B184">
        <v>43</v>
      </c>
      <c r="C184" t="str">
        <f ca="1">Sprache!A141</f>
        <v>Cedar</v>
      </c>
      <c r="D184">
        <v>0.57999999999999996</v>
      </c>
      <c r="F184">
        <v>43</v>
      </c>
      <c r="G184" t="str">
        <f ca="1">sort!E38</f>
        <v>Teak</v>
      </c>
      <c r="H184">
        <f ca="1">sort!F38</f>
        <v>0.98</v>
      </c>
    </row>
    <row r="185" spans="2:8" x14ac:dyDescent="0.25">
      <c r="B185">
        <v>44</v>
      </c>
      <c r="C185" t="str">
        <f ca="1">Sprache!A142</f>
        <v>Cypress</v>
      </c>
      <c r="D185">
        <v>0.51</v>
      </c>
      <c r="F185">
        <v>44</v>
      </c>
      <c r="G185" t="str">
        <f ca="1">sort!E39</f>
        <v>Willow</v>
      </c>
      <c r="H185">
        <f ca="1">sort!F39</f>
        <v>0.6</v>
      </c>
    </row>
  </sheetData>
  <sortState ref="L30:L71">
    <sortCondition ref="L43"/>
  </sortState>
  <mergeCells count="1">
    <mergeCell ref="N30:N73"/>
  </mergeCells>
  <pageMargins left="0.7" right="0.7" top="0.78740157499999996" bottom="0.78740157499999996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Drop Down 1">
              <controlPr defaultSize="0" autoLine="0" autoPict="0">
                <anchor moveWithCells="1">
                  <from>
                    <xdr:col>14</xdr:col>
                    <xdr:colOff>219075</xdr:colOff>
                    <xdr:row>123</xdr:row>
                    <xdr:rowOff>104775</xdr:rowOff>
                  </from>
                  <to>
                    <xdr:col>15</xdr:col>
                    <xdr:colOff>0</xdr:colOff>
                    <xdr:row>124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>
    <tabColor rgb="FF92D050"/>
  </sheetPr>
  <dimension ref="A1:V719"/>
  <sheetViews>
    <sheetView workbookViewId="0">
      <pane ySplit="1" topLeftCell="A2" activePane="bottomLeft" state="frozen"/>
      <selection pane="bottomLeft" activeCell="H728" sqref="H728"/>
    </sheetView>
  </sheetViews>
  <sheetFormatPr baseColWidth="10" defaultRowHeight="14.25" customHeight="1" x14ac:dyDescent="0.25"/>
  <cols>
    <col min="1" max="1" width="5.140625" style="34" customWidth="1"/>
    <col min="2" max="2" width="4.140625" style="34" customWidth="1"/>
    <col min="3" max="3" width="5.140625" style="34" customWidth="1"/>
    <col min="4" max="4" width="5.140625" style="26" customWidth="1"/>
    <col min="5" max="9" width="4.28515625" style="26" customWidth="1"/>
    <col min="10" max="10" width="30.7109375" style="34" customWidth="1"/>
    <col min="11" max="11" width="25" customWidth="1"/>
    <col min="12" max="12" width="28.85546875" bestFit="1" customWidth="1"/>
    <col min="13" max="13" width="4.140625" customWidth="1"/>
    <col min="14" max="14" width="8.85546875" style="13" customWidth="1"/>
    <col min="15" max="15" width="6.42578125" bestFit="1" customWidth="1"/>
    <col min="16" max="16" width="4.7109375" bestFit="1" customWidth="1"/>
    <col min="17" max="22" width="3.7109375" bestFit="1" customWidth="1"/>
    <col min="23" max="23" width="11" bestFit="1" customWidth="1"/>
  </cols>
  <sheetData>
    <row r="1" spans="1:22" s="17" customFormat="1" ht="102" customHeight="1" x14ac:dyDescent="0.25">
      <c r="A1" s="47" t="s">
        <v>942</v>
      </c>
      <c r="B1" s="27" t="s">
        <v>941</v>
      </c>
      <c r="C1" s="47" t="s">
        <v>940</v>
      </c>
      <c r="D1" s="50" t="s">
        <v>63</v>
      </c>
      <c r="E1" s="50" t="s">
        <v>5</v>
      </c>
      <c r="F1" s="50" t="s">
        <v>966</v>
      </c>
      <c r="G1" s="50" t="s">
        <v>2</v>
      </c>
      <c r="H1" s="50" t="s">
        <v>971</v>
      </c>
      <c r="I1" s="50" t="s">
        <v>951</v>
      </c>
      <c r="J1" s="27" t="s">
        <v>65</v>
      </c>
      <c r="K1" s="27" t="s">
        <v>66</v>
      </c>
      <c r="L1" s="27" t="s">
        <v>67</v>
      </c>
      <c r="M1" s="73" t="s">
        <v>965</v>
      </c>
      <c r="N1" s="74" t="s">
        <v>68</v>
      </c>
      <c r="O1" s="28" t="s">
        <v>954</v>
      </c>
      <c r="P1" s="28" t="s">
        <v>69</v>
      </c>
      <c r="Q1" s="28" t="s">
        <v>70</v>
      </c>
      <c r="R1" s="28" t="s">
        <v>38</v>
      </c>
      <c r="S1" s="28" t="s">
        <v>39</v>
      </c>
      <c r="T1" s="28" t="s">
        <v>40</v>
      </c>
      <c r="U1" s="28" t="s">
        <v>41</v>
      </c>
      <c r="V1" s="49" t="s">
        <v>64</v>
      </c>
    </row>
    <row r="2" spans="1:22" ht="14.25" customHeight="1" x14ac:dyDescent="0.25">
      <c r="A2" s="48" t="str">
        <f>LEFT(Tabelle1[[#This Row],[Artikel'#]],4)</f>
        <v>F017</v>
      </c>
      <c r="B2" s="46" t="str">
        <f>MID(Tabelle1[[#This Row],[Artikel'#]],5,3)</f>
        <v>139</v>
      </c>
      <c r="C2" s="48" t="str">
        <f>RIGHT(Tabelle1[[#This Row],[Artikel'#]],3)</f>
        <v>329</v>
      </c>
      <c r="D2" s="46">
        <f>IF(Tabelle1[[#This Row],[Winkel2]]=select!$A$2,1,0)</f>
        <v>1</v>
      </c>
      <c r="E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" s="46">
        <f>IF(select!$E$16=IF(Tabelle1[[#This Row],[mit Dämpfung]]=1,1,IF(Tabelle1[[#This Row],[ohne Dämpfung]]=1,2,IF(Tabelle1[[#This Row],[ohne Feder]]=1,3,0))),1,0)</f>
        <v>1</v>
      </c>
      <c r="G2" s="46">
        <f>IF(Tabelle1[[#This Row],[Links]]=select!$I$2,1,0)</f>
        <v>0</v>
      </c>
      <c r="H2" s="46">
        <f>IF(IF(Tabelle1[[#This Row],[Anschrauben]]=1,1,IF(Tabelle1[[#This Row],[Einpressen]]=1,2,IF(Tabelle1[[#This Row],[Werkzeuglos]]=1,3,0)))=select!$E$7,1,0)</f>
        <v>0</v>
      </c>
      <c r="I2" s="46">
        <f ca="1">IF(Tabelle1[[#This Row],[Winkel]]+Tabelle1[[#This Row],[Kröpfung]]+Tabelle1[[#This Row],[Däpfung]]+Tabelle1[[#This Row],[Bohrbild]]+Tabelle1[[#This Row],[Scharnierbefestigung]]=5,1,0)</f>
        <v>0</v>
      </c>
      <c r="J2" t="str">
        <f ca="1">Sprache!$A$56</f>
        <v>TIOMOS hinge TS-Impresso</v>
      </c>
      <c r="K2" t="s">
        <v>72</v>
      </c>
      <c r="L2" t="s">
        <v>73</v>
      </c>
      <c r="M2">
        <v>0</v>
      </c>
      <c r="N2" t="s">
        <v>12</v>
      </c>
      <c r="O2">
        <v>110</v>
      </c>
      <c r="P2">
        <v>1</v>
      </c>
      <c r="Q2">
        <v>0</v>
      </c>
      <c r="R2">
        <v>0</v>
      </c>
      <c r="S2">
        <v>0</v>
      </c>
      <c r="T2">
        <v>0</v>
      </c>
      <c r="U2">
        <v>1</v>
      </c>
      <c r="V2" s="14" t="s">
        <v>45</v>
      </c>
    </row>
    <row r="3" spans="1:22" ht="14.25" customHeight="1" x14ac:dyDescent="0.25">
      <c r="A3" s="48" t="str">
        <f>LEFT(Tabelle1[[#This Row],[Artikel'#]],4)</f>
        <v>F017</v>
      </c>
      <c r="B3" s="46" t="str">
        <f>MID(Tabelle1[[#This Row],[Artikel'#]],5,3)</f>
        <v>139</v>
      </c>
      <c r="C3" s="48" t="str">
        <f>RIGHT(Tabelle1[[#This Row],[Artikel'#]],3)</f>
        <v>329</v>
      </c>
      <c r="D3" s="46">
        <f>IF(Tabelle1[[#This Row],[Winkel2]]=select!$A$2,1,0)</f>
        <v>1</v>
      </c>
      <c r="E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" s="46">
        <f>IF(select!$E$16=IF(Tabelle1[[#This Row],[mit Dämpfung]]=1,1,IF(Tabelle1[[#This Row],[ohne Dämpfung]]=1,2,IF(Tabelle1[[#This Row],[ohne Feder]]=1,3,0))),1,0)</f>
        <v>1</v>
      </c>
      <c r="G3" s="46">
        <f>IF(Tabelle1[[#This Row],[Links]]=select!$I$2,1,0)</f>
        <v>1</v>
      </c>
      <c r="H3" s="46">
        <f>IF(IF(Tabelle1[[#This Row],[Anschrauben]]=1,1,IF(Tabelle1[[#This Row],[Einpressen]]=1,2,IF(Tabelle1[[#This Row],[Werkzeuglos]]=1,3,0)))=select!$E$7,1,0)</f>
        <v>0</v>
      </c>
      <c r="I3" s="46">
        <f ca="1">IF(Tabelle1[[#This Row],[Winkel]]+Tabelle1[[#This Row],[Kröpfung]]+Tabelle1[[#This Row],[Däpfung]]+Tabelle1[[#This Row],[Bohrbild]]+Tabelle1[[#This Row],[Scharnierbefestigung]]=5,1,0)</f>
        <v>0</v>
      </c>
      <c r="J3" t="str">
        <f ca="1">Sprache!$A$56</f>
        <v>TIOMOS hinge TS-Impresso</v>
      </c>
      <c r="K3" t="s">
        <v>72</v>
      </c>
      <c r="L3" t="s">
        <v>73</v>
      </c>
      <c r="M3">
        <v>0</v>
      </c>
      <c r="N3" t="s">
        <v>3</v>
      </c>
      <c r="O3">
        <v>110</v>
      </c>
      <c r="P3">
        <v>1</v>
      </c>
      <c r="Q3">
        <v>0</v>
      </c>
      <c r="R3">
        <v>0</v>
      </c>
      <c r="S3">
        <v>0</v>
      </c>
      <c r="T3">
        <v>0</v>
      </c>
      <c r="U3">
        <v>1</v>
      </c>
      <c r="V3" s="14" t="s">
        <v>45</v>
      </c>
    </row>
    <row r="4" spans="1:22" ht="14.25" customHeight="1" x14ac:dyDescent="0.25">
      <c r="A4" s="48" t="str">
        <f>LEFT(Tabelle1[[#This Row],[Artikel'#]],4)</f>
        <v>F017</v>
      </c>
      <c r="B4" s="46" t="str">
        <f>MID(Tabelle1[[#This Row],[Artikel'#]],5,3)</f>
        <v>139</v>
      </c>
      <c r="C4" s="48" t="str">
        <f>RIGHT(Tabelle1[[#This Row],[Artikel'#]],3)</f>
        <v>330</v>
      </c>
      <c r="D4" s="46">
        <f>IF(Tabelle1[[#This Row],[Winkel2]]=select!$A$2,1,0)</f>
        <v>1</v>
      </c>
      <c r="E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" s="46">
        <f>IF(select!$E$16=IF(Tabelle1[[#This Row],[mit Dämpfung]]=1,1,IF(Tabelle1[[#This Row],[ohne Dämpfung]]=1,2,IF(Tabelle1[[#This Row],[ohne Feder]]=1,3,0))),1,0)</f>
        <v>1</v>
      </c>
      <c r="G4" s="46">
        <f>IF(Tabelle1[[#This Row],[Links]]=select!$I$2,1,0)</f>
        <v>0</v>
      </c>
      <c r="H4" s="46">
        <f>IF(IF(Tabelle1[[#This Row],[Anschrauben]]=1,1,IF(Tabelle1[[#This Row],[Einpressen]]=1,2,IF(Tabelle1[[#This Row],[Werkzeuglos]]=1,3,0)))=select!$E$7,1,0)</f>
        <v>0</v>
      </c>
      <c r="I4" s="46">
        <f ca="1">IF(Tabelle1[[#This Row],[Winkel]]+Tabelle1[[#This Row],[Kröpfung]]+Tabelle1[[#This Row],[Däpfung]]+Tabelle1[[#This Row],[Bohrbild]]+Tabelle1[[#This Row],[Scharnierbefestigung]]=5,1,0)</f>
        <v>0</v>
      </c>
      <c r="J4" t="str">
        <f ca="1">Sprache!$A$56</f>
        <v>TIOMOS hinge TS-Impresso</v>
      </c>
      <c r="K4" t="s">
        <v>75</v>
      </c>
      <c r="L4" t="s">
        <v>73</v>
      </c>
      <c r="M4">
        <v>3</v>
      </c>
      <c r="N4" t="s">
        <v>12</v>
      </c>
      <c r="O4">
        <v>110</v>
      </c>
      <c r="P4">
        <v>1</v>
      </c>
      <c r="Q4">
        <v>0</v>
      </c>
      <c r="R4">
        <v>0</v>
      </c>
      <c r="S4">
        <v>0</v>
      </c>
      <c r="T4">
        <v>0</v>
      </c>
      <c r="U4">
        <v>1</v>
      </c>
      <c r="V4" s="14" t="s">
        <v>74</v>
      </c>
    </row>
    <row r="5" spans="1:22" ht="14.25" customHeight="1" x14ac:dyDescent="0.25">
      <c r="A5" s="48" t="str">
        <f>LEFT(Tabelle1[[#This Row],[Artikel'#]],4)</f>
        <v>F017</v>
      </c>
      <c r="B5" s="46" t="str">
        <f>MID(Tabelle1[[#This Row],[Artikel'#]],5,3)</f>
        <v>139</v>
      </c>
      <c r="C5" s="48" t="str">
        <f>RIGHT(Tabelle1[[#This Row],[Artikel'#]],3)</f>
        <v>330</v>
      </c>
      <c r="D5" s="46">
        <f>IF(Tabelle1[[#This Row],[Winkel2]]=select!$A$2,1,0)</f>
        <v>1</v>
      </c>
      <c r="E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" s="46">
        <f>IF(select!$E$16=IF(Tabelle1[[#This Row],[mit Dämpfung]]=1,1,IF(Tabelle1[[#This Row],[ohne Dämpfung]]=1,2,IF(Tabelle1[[#This Row],[ohne Feder]]=1,3,0))),1,0)</f>
        <v>1</v>
      </c>
      <c r="G5" s="46">
        <f>IF(Tabelle1[[#This Row],[Links]]=select!$I$2,1,0)</f>
        <v>1</v>
      </c>
      <c r="H5" s="46">
        <f>IF(IF(Tabelle1[[#This Row],[Anschrauben]]=1,1,IF(Tabelle1[[#This Row],[Einpressen]]=1,2,IF(Tabelle1[[#This Row],[Werkzeuglos]]=1,3,0)))=select!$E$7,1,0)</f>
        <v>0</v>
      </c>
      <c r="I5" s="46">
        <f ca="1">IF(Tabelle1[[#This Row],[Winkel]]+Tabelle1[[#This Row],[Kröpfung]]+Tabelle1[[#This Row],[Däpfung]]+Tabelle1[[#This Row],[Bohrbild]]+Tabelle1[[#This Row],[Scharnierbefestigung]]=5,1,0)</f>
        <v>0</v>
      </c>
      <c r="J5" t="str">
        <f ca="1">Sprache!$A$56</f>
        <v>TIOMOS hinge TS-Impresso</v>
      </c>
      <c r="K5" t="s">
        <v>75</v>
      </c>
      <c r="L5" t="s">
        <v>73</v>
      </c>
      <c r="M5">
        <v>3</v>
      </c>
      <c r="N5" t="s">
        <v>3</v>
      </c>
      <c r="O5">
        <v>110</v>
      </c>
      <c r="P5">
        <v>1</v>
      </c>
      <c r="Q5">
        <v>0</v>
      </c>
      <c r="R5">
        <v>0</v>
      </c>
      <c r="S5">
        <v>0</v>
      </c>
      <c r="T5">
        <v>0</v>
      </c>
      <c r="U5">
        <v>1</v>
      </c>
      <c r="V5" s="14" t="s">
        <v>74</v>
      </c>
    </row>
    <row r="6" spans="1:22" ht="14.25" customHeight="1" x14ac:dyDescent="0.25">
      <c r="A6" s="48" t="str">
        <f>LEFT(Tabelle1[[#This Row],[Artikel'#]],4)</f>
        <v>F017</v>
      </c>
      <c r="B6" s="46" t="str">
        <f>MID(Tabelle1[[#This Row],[Artikel'#]],5,3)</f>
        <v>139</v>
      </c>
      <c r="C6" s="48" t="str">
        <f>RIGHT(Tabelle1[[#This Row],[Artikel'#]],3)</f>
        <v>331</v>
      </c>
      <c r="D6" s="46">
        <f>IF(Tabelle1[[#This Row],[Winkel2]]=select!$A$2,1,0)</f>
        <v>1</v>
      </c>
      <c r="E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" s="46">
        <f>IF(select!$E$16=IF(Tabelle1[[#This Row],[mit Dämpfung]]=1,1,IF(Tabelle1[[#This Row],[ohne Dämpfung]]=1,2,IF(Tabelle1[[#This Row],[ohne Feder]]=1,3,0))),1,0)</f>
        <v>1</v>
      </c>
      <c r="G6" s="46">
        <f>IF(Tabelle1[[#This Row],[Links]]=select!$I$2,1,0)</f>
        <v>0</v>
      </c>
      <c r="H6" s="46">
        <f>IF(IF(Tabelle1[[#This Row],[Anschrauben]]=1,1,IF(Tabelle1[[#This Row],[Einpressen]]=1,2,IF(Tabelle1[[#This Row],[Werkzeuglos]]=1,3,0)))=select!$E$7,1,0)</f>
        <v>0</v>
      </c>
      <c r="I6" s="46">
        <f ca="1">IF(Tabelle1[[#This Row],[Winkel]]+Tabelle1[[#This Row],[Kröpfung]]+Tabelle1[[#This Row],[Däpfung]]+Tabelle1[[#This Row],[Bohrbild]]+Tabelle1[[#This Row],[Scharnierbefestigung]]=5,1,0)</f>
        <v>0</v>
      </c>
      <c r="J6" t="str">
        <f ca="1">Sprache!$A$56</f>
        <v>TIOMOS hinge TS-Impresso</v>
      </c>
      <c r="K6" t="s">
        <v>77</v>
      </c>
      <c r="L6" t="s">
        <v>73</v>
      </c>
      <c r="M6">
        <v>9.5</v>
      </c>
      <c r="N6" t="s">
        <v>12</v>
      </c>
      <c r="O6">
        <v>110</v>
      </c>
      <c r="P6">
        <v>1</v>
      </c>
      <c r="Q6">
        <v>0</v>
      </c>
      <c r="R6">
        <v>0</v>
      </c>
      <c r="S6">
        <v>0</v>
      </c>
      <c r="T6">
        <v>0</v>
      </c>
      <c r="U6">
        <v>1</v>
      </c>
      <c r="V6" s="14" t="s">
        <v>76</v>
      </c>
    </row>
    <row r="7" spans="1:22" ht="14.25" customHeight="1" x14ac:dyDescent="0.25">
      <c r="A7" s="48" t="str">
        <f>LEFT(Tabelle1[[#This Row],[Artikel'#]],4)</f>
        <v>F017</v>
      </c>
      <c r="B7" s="46" t="str">
        <f>MID(Tabelle1[[#This Row],[Artikel'#]],5,3)</f>
        <v>139</v>
      </c>
      <c r="C7" s="48" t="str">
        <f>RIGHT(Tabelle1[[#This Row],[Artikel'#]],3)</f>
        <v>331</v>
      </c>
      <c r="D7" s="46">
        <f>IF(Tabelle1[[#This Row],[Winkel2]]=select!$A$2,1,0)</f>
        <v>1</v>
      </c>
      <c r="E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" s="46">
        <f>IF(select!$E$16=IF(Tabelle1[[#This Row],[mit Dämpfung]]=1,1,IF(Tabelle1[[#This Row],[ohne Dämpfung]]=1,2,IF(Tabelle1[[#This Row],[ohne Feder]]=1,3,0))),1,0)</f>
        <v>1</v>
      </c>
      <c r="G7" s="46">
        <f>IF(Tabelle1[[#This Row],[Links]]=select!$I$2,1,0)</f>
        <v>1</v>
      </c>
      <c r="H7" s="46">
        <f>IF(IF(Tabelle1[[#This Row],[Anschrauben]]=1,1,IF(Tabelle1[[#This Row],[Einpressen]]=1,2,IF(Tabelle1[[#This Row],[Werkzeuglos]]=1,3,0)))=select!$E$7,1,0)</f>
        <v>0</v>
      </c>
      <c r="I7" s="46">
        <f ca="1">IF(Tabelle1[[#This Row],[Winkel]]+Tabelle1[[#This Row],[Kröpfung]]+Tabelle1[[#This Row],[Däpfung]]+Tabelle1[[#This Row],[Bohrbild]]+Tabelle1[[#This Row],[Scharnierbefestigung]]=5,1,0)</f>
        <v>0</v>
      </c>
      <c r="J7" t="str">
        <f ca="1">Sprache!$A$56</f>
        <v>TIOMOS hinge TS-Impresso</v>
      </c>
      <c r="K7" t="s">
        <v>77</v>
      </c>
      <c r="L7" t="s">
        <v>73</v>
      </c>
      <c r="M7">
        <v>9.5</v>
      </c>
      <c r="N7" t="s">
        <v>3</v>
      </c>
      <c r="O7">
        <v>110</v>
      </c>
      <c r="P7">
        <v>1</v>
      </c>
      <c r="Q7">
        <v>0</v>
      </c>
      <c r="R7">
        <v>0</v>
      </c>
      <c r="S7">
        <v>0</v>
      </c>
      <c r="T7">
        <v>0</v>
      </c>
      <c r="U7">
        <v>1</v>
      </c>
      <c r="V7" s="14" t="s">
        <v>76</v>
      </c>
    </row>
    <row r="8" spans="1:22" ht="14.25" customHeight="1" x14ac:dyDescent="0.25">
      <c r="A8" s="48" t="str">
        <f>LEFT(Tabelle1[[#This Row],[Artikel'#]],4)</f>
        <v>F017</v>
      </c>
      <c r="B8" s="46" t="str">
        <f>MID(Tabelle1[[#This Row],[Artikel'#]],5,3)</f>
        <v>139</v>
      </c>
      <c r="C8" s="48" t="str">
        <f>RIGHT(Tabelle1[[#This Row],[Artikel'#]],3)</f>
        <v>332</v>
      </c>
      <c r="D8" s="46">
        <f>IF(Tabelle1[[#This Row],[Winkel2]]=select!$A$2,1,0)</f>
        <v>1</v>
      </c>
      <c r="E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" s="46">
        <f>IF(select!$E$16=IF(Tabelle1[[#This Row],[mit Dämpfung]]=1,1,IF(Tabelle1[[#This Row],[ohne Dämpfung]]=1,2,IF(Tabelle1[[#This Row],[ohne Feder]]=1,3,0))),1,0)</f>
        <v>1</v>
      </c>
      <c r="G8" s="46">
        <f>IF(Tabelle1[[#This Row],[Links]]=select!$I$2,1,0)</f>
        <v>0</v>
      </c>
      <c r="H8" s="46">
        <f>IF(IF(Tabelle1[[#This Row],[Anschrauben]]=1,1,IF(Tabelle1[[#This Row],[Einpressen]]=1,2,IF(Tabelle1[[#This Row],[Werkzeuglos]]=1,3,0)))=select!$E$7,1,0)</f>
        <v>0</v>
      </c>
      <c r="I8" s="46">
        <f ca="1">IF(Tabelle1[[#This Row],[Winkel]]+Tabelle1[[#This Row],[Kröpfung]]+Tabelle1[[#This Row],[Däpfung]]+Tabelle1[[#This Row],[Bohrbild]]+Tabelle1[[#This Row],[Scharnierbefestigung]]=5,1,0)</f>
        <v>0</v>
      </c>
      <c r="J8" t="str">
        <f ca="1">Sprache!$A$56</f>
        <v>TIOMOS hinge TS-Impresso</v>
      </c>
      <c r="K8" t="s">
        <v>79</v>
      </c>
      <c r="L8" t="s">
        <v>73</v>
      </c>
      <c r="M8">
        <v>19</v>
      </c>
      <c r="N8" t="s">
        <v>12</v>
      </c>
      <c r="O8">
        <v>110</v>
      </c>
      <c r="P8">
        <v>1</v>
      </c>
      <c r="Q8">
        <v>0</v>
      </c>
      <c r="R8">
        <v>0</v>
      </c>
      <c r="S8">
        <v>0</v>
      </c>
      <c r="T8">
        <v>0</v>
      </c>
      <c r="U8">
        <v>1</v>
      </c>
      <c r="V8" s="14" t="s">
        <v>78</v>
      </c>
    </row>
    <row r="9" spans="1:22" ht="14.25" customHeight="1" x14ac:dyDescent="0.25">
      <c r="A9" s="48" t="str">
        <f>LEFT(Tabelle1[[#This Row],[Artikel'#]],4)</f>
        <v>F017</v>
      </c>
      <c r="B9" s="46" t="str">
        <f>MID(Tabelle1[[#This Row],[Artikel'#]],5,3)</f>
        <v>139</v>
      </c>
      <c r="C9" s="48" t="str">
        <f>RIGHT(Tabelle1[[#This Row],[Artikel'#]],3)</f>
        <v>332</v>
      </c>
      <c r="D9" s="46">
        <f>IF(Tabelle1[[#This Row],[Winkel2]]=select!$A$2,1,0)</f>
        <v>1</v>
      </c>
      <c r="E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" s="46">
        <f>IF(select!$E$16=IF(Tabelle1[[#This Row],[mit Dämpfung]]=1,1,IF(Tabelle1[[#This Row],[ohne Dämpfung]]=1,2,IF(Tabelle1[[#This Row],[ohne Feder]]=1,3,0))),1,0)</f>
        <v>1</v>
      </c>
      <c r="G9" s="46">
        <f>IF(Tabelle1[[#This Row],[Links]]=select!$I$2,1,0)</f>
        <v>1</v>
      </c>
      <c r="H9" s="46">
        <f>IF(IF(Tabelle1[[#This Row],[Anschrauben]]=1,1,IF(Tabelle1[[#This Row],[Einpressen]]=1,2,IF(Tabelle1[[#This Row],[Werkzeuglos]]=1,3,0)))=select!$E$7,1,0)</f>
        <v>0</v>
      </c>
      <c r="I9" s="46">
        <f ca="1">IF(Tabelle1[[#This Row],[Winkel]]+Tabelle1[[#This Row],[Kröpfung]]+Tabelle1[[#This Row],[Däpfung]]+Tabelle1[[#This Row],[Bohrbild]]+Tabelle1[[#This Row],[Scharnierbefestigung]]=5,1,0)</f>
        <v>0</v>
      </c>
      <c r="J9" t="str">
        <f ca="1">Sprache!$A$56</f>
        <v>TIOMOS hinge TS-Impresso</v>
      </c>
      <c r="K9" t="s">
        <v>79</v>
      </c>
      <c r="L9" t="s">
        <v>73</v>
      </c>
      <c r="M9">
        <v>19</v>
      </c>
      <c r="N9" t="s">
        <v>3</v>
      </c>
      <c r="O9">
        <v>110</v>
      </c>
      <c r="P9">
        <v>1</v>
      </c>
      <c r="Q9">
        <v>0</v>
      </c>
      <c r="R9">
        <v>0</v>
      </c>
      <c r="S9">
        <v>0</v>
      </c>
      <c r="T9">
        <v>0</v>
      </c>
      <c r="U9">
        <v>1</v>
      </c>
      <c r="V9" s="14" t="s">
        <v>78</v>
      </c>
    </row>
    <row r="10" spans="1:22" ht="14.25" customHeight="1" x14ac:dyDescent="0.25">
      <c r="A10" s="48" t="str">
        <f>LEFT(Tabelle1[[#This Row],[Artikel'#]],4)</f>
        <v>F017</v>
      </c>
      <c r="B10" s="46" t="str">
        <f>MID(Tabelle1[[#This Row],[Artikel'#]],5,3)</f>
        <v>139</v>
      </c>
      <c r="C10" s="48" t="str">
        <f>RIGHT(Tabelle1[[#This Row],[Artikel'#]],3)</f>
        <v>343</v>
      </c>
      <c r="D10" s="46">
        <f>IF(Tabelle1[[#This Row],[Winkel2]]=select!$A$2,1,0)</f>
        <v>0</v>
      </c>
      <c r="E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" s="46">
        <f>IF(select!$E$16=IF(Tabelle1[[#This Row],[mit Dämpfung]]=1,1,IF(Tabelle1[[#This Row],[ohne Dämpfung]]=1,2,IF(Tabelle1[[#This Row],[ohne Feder]]=1,3,0))),1,0)</f>
        <v>1</v>
      </c>
      <c r="G10" s="46">
        <f>IF(Tabelle1[[#This Row],[Links]]=select!$I$2,1,0)</f>
        <v>0</v>
      </c>
      <c r="H10" s="46">
        <f>IF(IF(Tabelle1[[#This Row],[Anschrauben]]=1,1,IF(Tabelle1[[#This Row],[Einpressen]]=1,2,IF(Tabelle1[[#This Row],[Werkzeuglos]]=1,3,0)))=select!$E$7,1,0)</f>
        <v>0</v>
      </c>
      <c r="I10" s="46">
        <f ca="1">IF(Tabelle1[[#This Row],[Winkel]]+Tabelle1[[#This Row],[Kröpfung]]+Tabelle1[[#This Row],[Däpfung]]+Tabelle1[[#This Row],[Bohrbild]]+Tabelle1[[#This Row],[Scharnierbefestigung]]=5,1,0)</f>
        <v>0</v>
      </c>
      <c r="J10" t="str">
        <f ca="1">Sprache!$A$56</f>
        <v>TIOMOS hinge TS-Impresso</v>
      </c>
      <c r="K10" t="s">
        <v>81</v>
      </c>
      <c r="L10" t="s">
        <v>73</v>
      </c>
      <c r="M10">
        <v>0</v>
      </c>
      <c r="N10" t="s">
        <v>12</v>
      </c>
      <c r="O10">
        <v>120</v>
      </c>
      <c r="P10">
        <v>1</v>
      </c>
      <c r="Q10">
        <v>0</v>
      </c>
      <c r="R10">
        <v>0</v>
      </c>
      <c r="S10">
        <v>0</v>
      </c>
      <c r="T10">
        <v>0</v>
      </c>
      <c r="U10">
        <v>1</v>
      </c>
      <c r="V10" s="14" t="s">
        <v>80</v>
      </c>
    </row>
    <row r="11" spans="1:22" ht="14.25" customHeight="1" x14ac:dyDescent="0.25">
      <c r="A11" s="48" t="str">
        <f>LEFT(Tabelle1[[#This Row],[Artikel'#]],4)</f>
        <v>F017</v>
      </c>
      <c r="B11" s="46" t="str">
        <f>MID(Tabelle1[[#This Row],[Artikel'#]],5,3)</f>
        <v>139</v>
      </c>
      <c r="C11" s="48" t="str">
        <f>RIGHT(Tabelle1[[#This Row],[Artikel'#]],3)</f>
        <v>343</v>
      </c>
      <c r="D11" s="46">
        <f>IF(Tabelle1[[#This Row],[Winkel2]]=select!$A$2,1,0)</f>
        <v>0</v>
      </c>
      <c r="E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" s="46">
        <f>IF(select!$E$16=IF(Tabelle1[[#This Row],[mit Dämpfung]]=1,1,IF(Tabelle1[[#This Row],[ohne Dämpfung]]=1,2,IF(Tabelle1[[#This Row],[ohne Feder]]=1,3,0))),1,0)</f>
        <v>1</v>
      </c>
      <c r="G11" s="46">
        <f>IF(Tabelle1[[#This Row],[Links]]=select!$I$2,1,0)</f>
        <v>1</v>
      </c>
      <c r="H11" s="46">
        <f>IF(IF(Tabelle1[[#This Row],[Anschrauben]]=1,1,IF(Tabelle1[[#This Row],[Einpressen]]=1,2,IF(Tabelle1[[#This Row],[Werkzeuglos]]=1,3,0)))=select!$E$7,1,0)</f>
        <v>0</v>
      </c>
      <c r="I11" s="46">
        <f ca="1">IF(Tabelle1[[#This Row],[Winkel]]+Tabelle1[[#This Row],[Kröpfung]]+Tabelle1[[#This Row],[Däpfung]]+Tabelle1[[#This Row],[Bohrbild]]+Tabelle1[[#This Row],[Scharnierbefestigung]]=5,1,0)</f>
        <v>0</v>
      </c>
      <c r="J11" t="str">
        <f ca="1">Sprache!$A$56</f>
        <v>TIOMOS hinge TS-Impresso</v>
      </c>
      <c r="K11" t="s">
        <v>81</v>
      </c>
      <c r="L11" t="s">
        <v>73</v>
      </c>
      <c r="M11">
        <v>0</v>
      </c>
      <c r="N11" t="s">
        <v>3</v>
      </c>
      <c r="O11">
        <v>120</v>
      </c>
      <c r="P11">
        <v>1</v>
      </c>
      <c r="Q11">
        <v>0</v>
      </c>
      <c r="R11">
        <v>0</v>
      </c>
      <c r="S11">
        <v>0</v>
      </c>
      <c r="T11">
        <v>0</v>
      </c>
      <c r="U11">
        <v>1</v>
      </c>
      <c r="V11" s="14" t="s">
        <v>80</v>
      </c>
    </row>
    <row r="12" spans="1:22" ht="14.25" customHeight="1" x14ac:dyDescent="0.25">
      <c r="A12" s="48" t="str">
        <f>LEFT(Tabelle1[[#This Row],[Artikel'#]],4)</f>
        <v>F017</v>
      </c>
      <c r="B12" s="46" t="str">
        <f>MID(Tabelle1[[#This Row],[Artikel'#]],5,3)</f>
        <v>139</v>
      </c>
      <c r="C12" s="48" t="str">
        <f>RIGHT(Tabelle1[[#This Row],[Artikel'#]],3)</f>
        <v>344</v>
      </c>
      <c r="D12" s="46">
        <f>IF(Tabelle1[[#This Row],[Winkel2]]=select!$A$2,1,0)</f>
        <v>0</v>
      </c>
      <c r="E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" s="46">
        <f>IF(select!$E$16=IF(Tabelle1[[#This Row],[mit Dämpfung]]=1,1,IF(Tabelle1[[#This Row],[ohne Dämpfung]]=1,2,IF(Tabelle1[[#This Row],[ohne Feder]]=1,3,0))),1,0)</f>
        <v>1</v>
      </c>
      <c r="G12" s="46">
        <f>IF(Tabelle1[[#This Row],[Links]]=select!$I$2,1,0)</f>
        <v>0</v>
      </c>
      <c r="H12" s="46">
        <f>IF(IF(Tabelle1[[#This Row],[Anschrauben]]=1,1,IF(Tabelle1[[#This Row],[Einpressen]]=1,2,IF(Tabelle1[[#This Row],[Werkzeuglos]]=1,3,0)))=select!$E$7,1,0)</f>
        <v>0</v>
      </c>
      <c r="I12" s="46">
        <f ca="1">IF(Tabelle1[[#This Row],[Winkel]]+Tabelle1[[#This Row],[Kröpfung]]+Tabelle1[[#This Row],[Däpfung]]+Tabelle1[[#This Row],[Bohrbild]]+Tabelle1[[#This Row],[Scharnierbefestigung]]=5,1,0)</f>
        <v>0</v>
      </c>
      <c r="J12" t="str">
        <f ca="1">Sprache!$A$56</f>
        <v>TIOMOS hinge TS-Impresso</v>
      </c>
      <c r="K12" t="s">
        <v>83</v>
      </c>
      <c r="L12" t="s">
        <v>73</v>
      </c>
      <c r="M12">
        <v>3</v>
      </c>
      <c r="N12" t="s">
        <v>12</v>
      </c>
      <c r="O12">
        <v>120</v>
      </c>
      <c r="P12">
        <v>1</v>
      </c>
      <c r="Q12">
        <v>0</v>
      </c>
      <c r="R12">
        <v>0</v>
      </c>
      <c r="S12">
        <v>0</v>
      </c>
      <c r="T12">
        <v>0</v>
      </c>
      <c r="U12">
        <v>1</v>
      </c>
      <c r="V12" s="14" t="s">
        <v>82</v>
      </c>
    </row>
    <row r="13" spans="1:22" ht="14.25" customHeight="1" x14ac:dyDescent="0.25">
      <c r="A13" s="48" t="str">
        <f>LEFT(Tabelle1[[#This Row],[Artikel'#]],4)</f>
        <v>F017</v>
      </c>
      <c r="B13" s="46" t="str">
        <f>MID(Tabelle1[[#This Row],[Artikel'#]],5,3)</f>
        <v>139</v>
      </c>
      <c r="C13" s="48" t="str">
        <f>RIGHT(Tabelle1[[#This Row],[Artikel'#]],3)</f>
        <v>344</v>
      </c>
      <c r="D13" s="46">
        <f>IF(Tabelle1[[#This Row],[Winkel2]]=select!$A$2,1,0)</f>
        <v>0</v>
      </c>
      <c r="E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" s="46">
        <f>IF(select!$E$16=IF(Tabelle1[[#This Row],[mit Dämpfung]]=1,1,IF(Tabelle1[[#This Row],[ohne Dämpfung]]=1,2,IF(Tabelle1[[#This Row],[ohne Feder]]=1,3,0))),1,0)</f>
        <v>1</v>
      </c>
      <c r="G13" s="46">
        <f>IF(Tabelle1[[#This Row],[Links]]=select!$I$2,1,0)</f>
        <v>1</v>
      </c>
      <c r="H13" s="46">
        <f>IF(IF(Tabelle1[[#This Row],[Anschrauben]]=1,1,IF(Tabelle1[[#This Row],[Einpressen]]=1,2,IF(Tabelle1[[#This Row],[Werkzeuglos]]=1,3,0)))=select!$E$7,1,0)</f>
        <v>0</v>
      </c>
      <c r="I13" s="46">
        <f ca="1">IF(Tabelle1[[#This Row],[Winkel]]+Tabelle1[[#This Row],[Kröpfung]]+Tabelle1[[#This Row],[Däpfung]]+Tabelle1[[#This Row],[Bohrbild]]+Tabelle1[[#This Row],[Scharnierbefestigung]]=5,1,0)</f>
        <v>0</v>
      </c>
      <c r="J13" t="str">
        <f ca="1">Sprache!$A$56</f>
        <v>TIOMOS hinge TS-Impresso</v>
      </c>
      <c r="K13" t="s">
        <v>83</v>
      </c>
      <c r="L13" t="s">
        <v>73</v>
      </c>
      <c r="M13">
        <v>3</v>
      </c>
      <c r="N13" t="s">
        <v>3</v>
      </c>
      <c r="O13">
        <v>120</v>
      </c>
      <c r="P13">
        <v>1</v>
      </c>
      <c r="Q13">
        <v>0</v>
      </c>
      <c r="R13">
        <v>0</v>
      </c>
      <c r="S13">
        <v>0</v>
      </c>
      <c r="T13">
        <v>0</v>
      </c>
      <c r="U13">
        <v>1</v>
      </c>
      <c r="V13" s="14" t="s">
        <v>82</v>
      </c>
    </row>
    <row r="14" spans="1:22" ht="14.25" customHeight="1" x14ac:dyDescent="0.25">
      <c r="A14" s="48" t="str">
        <f>LEFT(Tabelle1[[#This Row],[Artikel'#]],4)</f>
        <v>F017</v>
      </c>
      <c r="B14" s="46" t="str">
        <f>MID(Tabelle1[[#This Row],[Artikel'#]],5,3)</f>
        <v>139</v>
      </c>
      <c r="C14" s="48" t="str">
        <f>RIGHT(Tabelle1[[#This Row],[Artikel'#]],3)</f>
        <v>345</v>
      </c>
      <c r="D14" s="46">
        <f>IF(Tabelle1[[#This Row],[Winkel2]]=select!$A$2,1,0)</f>
        <v>0</v>
      </c>
      <c r="E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4" s="46">
        <f>IF(select!$E$16=IF(Tabelle1[[#This Row],[mit Dämpfung]]=1,1,IF(Tabelle1[[#This Row],[ohne Dämpfung]]=1,2,IF(Tabelle1[[#This Row],[ohne Feder]]=1,3,0))),1,0)</f>
        <v>1</v>
      </c>
      <c r="G14" s="46">
        <f>IF(Tabelle1[[#This Row],[Links]]=select!$I$2,1,0)</f>
        <v>0</v>
      </c>
      <c r="H14" s="46">
        <f>IF(IF(Tabelle1[[#This Row],[Anschrauben]]=1,1,IF(Tabelle1[[#This Row],[Einpressen]]=1,2,IF(Tabelle1[[#This Row],[Werkzeuglos]]=1,3,0)))=select!$E$7,1,0)</f>
        <v>0</v>
      </c>
      <c r="I14" s="46">
        <f ca="1">IF(Tabelle1[[#This Row],[Winkel]]+Tabelle1[[#This Row],[Kröpfung]]+Tabelle1[[#This Row],[Däpfung]]+Tabelle1[[#This Row],[Bohrbild]]+Tabelle1[[#This Row],[Scharnierbefestigung]]=5,1,0)</f>
        <v>0</v>
      </c>
      <c r="J14" t="str">
        <f ca="1">Sprache!$A$56</f>
        <v>TIOMOS hinge TS-Impresso</v>
      </c>
      <c r="K14" t="s">
        <v>85</v>
      </c>
      <c r="L14" t="s">
        <v>73</v>
      </c>
      <c r="M14">
        <v>9.5</v>
      </c>
      <c r="N14" t="s">
        <v>12</v>
      </c>
      <c r="O14">
        <v>120</v>
      </c>
      <c r="P14">
        <v>1</v>
      </c>
      <c r="Q14">
        <v>0</v>
      </c>
      <c r="R14">
        <v>0</v>
      </c>
      <c r="S14">
        <v>0</v>
      </c>
      <c r="T14">
        <v>0</v>
      </c>
      <c r="U14">
        <v>1</v>
      </c>
      <c r="V14" s="14" t="s">
        <v>84</v>
      </c>
    </row>
    <row r="15" spans="1:22" ht="14.25" customHeight="1" x14ac:dyDescent="0.25">
      <c r="A15" s="48" t="str">
        <f>LEFT(Tabelle1[[#This Row],[Artikel'#]],4)</f>
        <v>F017</v>
      </c>
      <c r="B15" s="46" t="str">
        <f>MID(Tabelle1[[#This Row],[Artikel'#]],5,3)</f>
        <v>139</v>
      </c>
      <c r="C15" s="48" t="str">
        <f>RIGHT(Tabelle1[[#This Row],[Artikel'#]],3)</f>
        <v>345</v>
      </c>
      <c r="D15" s="46">
        <f>IF(Tabelle1[[#This Row],[Winkel2]]=select!$A$2,1,0)</f>
        <v>0</v>
      </c>
      <c r="E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5" s="46">
        <f>IF(select!$E$16=IF(Tabelle1[[#This Row],[mit Dämpfung]]=1,1,IF(Tabelle1[[#This Row],[ohne Dämpfung]]=1,2,IF(Tabelle1[[#This Row],[ohne Feder]]=1,3,0))),1,0)</f>
        <v>1</v>
      </c>
      <c r="G15" s="46">
        <f>IF(Tabelle1[[#This Row],[Links]]=select!$I$2,1,0)</f>
        <v>1</v>
      </c>
      <c r="H15" s="46">
        <f>IF(IF(Tabelle1[[#This Row],[Anschrauben]]=1,1,IF(Tabelle1[[#This Row],[Einpressen]]=1,2,IF(Tabelle1[[#This Row],[Werkzeuglos]]=1,3,0)))=select!$E$7,1,0)</f>
        <v>0</v>
      </c>
      <c r="I15" s="46">
        <f ca="1">IF(Tabelle1[[#This Row],[Winkel]]+Tabelle1[[#This Row],[Kröpfung]]+Tabelle1[[#This Row],[Däpfung]]+Tabelle1[[#This Row],[Bohrbild]]+Tabelle1[[#This Row],[Scharnierbefestigung]]=5,1,0)</f>
        <v>0</v>
      </c>
      <c r="J15" t="str">
        <f ca="1">Sprache!$A$56</f>
        <v>TIOMOS hinge TS-Impresso</v>
      </c>
      <c r="K15" t="s">
        <v>85</v>
      </c>
      <c r="L15" t="s">
        <v>73</v>
      </c>
      <c r="M15">
        <v>9.5</v>
      </c>
      <c r="N15" t="s">
        <v>3</v>
      </c>
      <c r="O15">
        <v>120</v>
      </c>
      <c r="P15">
        <v>1</v>
      </c>
      <c r="Q15">
        <v>0</v>
      </c>
      <c r="R15">
        <v>0</v>
      </c>
      <c r="S15">
        <v>0</v>
      </c>
      <c r="T15">
        <v>0</v>
      </c>
      <c r="U15">
        <v>1</v>
      </c>
      <c r="V15" s="14" t="s">
        <v>84</v>
      </c>
    </row>
    <row r="16" spans="1:22" ht="14.25" customHeight="1" x14ac:dyDescent="0.25">
      <c r="A16" s="48" t="str">
        <f>LEFT(Tabelle1[[#This Row],[Artikel'#]],4)</f>
        <v>F017</v>
      </c>
      <c r="B16" s="46" t="str">
        <f>MID(Tabelle1[[#This Row],[Artikel'#]],5,3)</f>
        <v>139</v>
      </c>
      <c r="C16" s="48" t="str">
        <f>RIGHT(Tabelle1[[#This Row],[Artikel'#]],3)</f>
        <v>346</v>
      </c>
      <c r="D16" s="46">
        <f>IF(Tabelle1[[#This Row],[Winkel2]]=select!$A$2,1,0)</f>
        <v>0</v>
      </c>
      <c r="E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" s="46">
        <f>IF(select!$E$16=IF(Tabelle1[[#This Row],[mit Dämpfung]]=1,1,IF(Tabelle1[[#This Row],[ohne Dämpfung]]=1,2,IF(Tabelle1[[#This Row],[ohne Feder]]=1,3,0))),1,0)</f>
        <v>1</v>
      </c>
      <c r="G16" s="46">
        <f>IF(Tabelle1[[#This Row],[Links]]=select!$I$2,1,0)</f>
        <v>0</v>
      </c>
      <c r="H16" s="46">
        <f>IF(IF(Tabelle1[[#This Row],[Anschrauben]]=1,1,IF(Tabelle1[[#This Row],[Einpressen]]=1,2,IF(Tabelle1[[#This Row],[Werkzeuglos]]=1,3,0)))=select!$E$7,1,0)</f>
        <v>0</v>
      </c>
      <c r="I16" s="46">
        <f ca="1">IF(Tabelle1[[#This Row],[Winkel]]+Tabelle1[[#This Row],[Kröpfung]]+Tabelle1[[#This Row],[Däpfung]]+Tabelle1[[#This Row],[Bohrbild]]+Tabelle1[[#This Row],[Scharnierbefestigung]]=5,1,0)</f>
        <v>0</v>
      </c>
      <c r="J16" t="str">
        <f ca="1">Sprache!$A$56</f>
        <v>TIOMOS hinge TS-Impresso</v>
      </c>
      <c r="K16" t="s">
        <v>87</v>
      </c>
      <c r="L16" t="s">
        <v>73</v>
      </c>
      <c r="M16">
        <v>19</v>
      </c>
      <c r="N16" t="s">
        <v>12</v>
      </c>
      <c r="O16">
        <v>120</v>
      </c>
      <c r="P16">
        <v>1</v>
      </c>
      <c r="Q16">
        <v>0</v>
      </c>
      <c r="R16">
        <v>0</v>
      </c>
      <c r="S16">
        <v>0</v>
      </c>
      <c r="T16">
        <v>0</v>
      </c>
      <c r="U16">
        <v>1</v>
      </c>
      <c r="V16" s="14" t="s">
        <v>86</v>
      </c>
    </row>
    <row r="17" spans="1:22" ht="14.25" customHeight="1" x14ac:dyDescent="0.25">
      <c r="A17" s="48" t="str">
        <f>LEFT(Tabelle1[[#This Row],[Artikel'#]],4)</f>
        <v>F017</v>
      </c>
      <c r="B17" s="46" t="str">
        <f>MID(Tabelle1[[#This Row],[Artikel'#]],5,3)</f>
        <v>139</v>
      </c>
      <c r="C17" s="48" t="str">
        <f>RIGHT(Tabelle1[[#This Row],[Artikel'#]],3)</f>
        <v>346</v>
      </c>
      <c r="D17" s="46">
        <f>IF(Tabelle1[[#This Row],[Winkel2]]=select!$A$2,1,0)</f>
        <v>0</v>
      </c>
      <c r="E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" s="46">
        <f>IF(select!$E$16=IF(Tabelle1[[#This Row],[mit Dämpfung]]=1,1,IF(Tabelle1[[#This Row],[ohne Dämpfung]]=1,2,IF(Tabelle1[[#This Row],[ohne Feder]]=1,3,0))),1,0)</f>
        <v>1</v>
      </c>
      <c r="G17" s="46">
        <f>IF(Tabelle1[[#This Row],[Links]]=select!$I$2,1,0)</f>
        <v>1</v>
      </c>
      <c r="H17" s="46">
        <f>IF(IF(Tabelle1[[#This Row],[Anschrauben]]=1,1,IF(Tabelle1[[#This Row],[Einpressen]]=1,2,IF(Tabelle1[[#This Row],[Werkzeuglos]]=1,3,0)))=select!$E$7,1,0)</f>
        <v>0</v>
      </c>
      <c r="I17" s="46">
        <f ca="1">IF(Tabelle1[[#This Row],[Winkel]]+Tabelle1[[#This Row],[Kröpfung]]+Tabelle1[[#This Row],[Däpfung]]+Tabelle1[[#This Row],[Bohrbild]]+Tabelle1[[#This Row],[Scharnierbefestigung]]=5,1,0)</f>
        <v>0</v>
      </c>
      <c r="J17" t="str">
        <f ca="1">Sprache!$A$56</f>
        <v>TIOMOS hinge TS-Impresso</v>
      </c>
      <c r="K17" t="s">
        <v>87</v>
      </c>
      <c r="L17" t="s">
        <v>73</v>
      </c>
      <c r="M17">
        <v>19</v>
      </c>
      <c r="N17" t="s">
        <v>3</v>
      </c>
      <c r="O17">
        <v>120</v>
      </c>
      <c r="P17">
        <v>1</v>
      </c>
      <c r="Q17">
        <v>0</v>
      </c>
      <c r="R17">
        <v>0</v>
      </c>
      <c r="S17">
        <v>0</v>
      </c>
      <c r="T17">
        <v>0</v>
      </c>
      <c r="U17">
        <v>1</v>
      </c>
      <c r="V17" s="14" t="s">
        <v>86</v>
      </c>
    </row>
    <row r="18" spans="1:22" ht="14.25" customHeight="1" x14ac:dyDescent="0.25">
      <c r="A18" s="48" t="str">
        <f>LEFT(Tabelle1[[#This Row],[Artikel'#]],4)</f>
        <v>F017</v>
      </c>
      <c r="B18" s="46" t="str">
        <f>MID(Tabelle1[[#This Row],[Artikel'#]],5,3)</f>
        <v>139</v>
      </c>
      <c r="C18" s="48" t="str">
        <f>RIGHT(Tabelle1[[#This Row],[Artikel'#]],3)</f>
        <v>350</v>
      </c>
      <c r="D18" s="46">
        <f>IF(Tabelle1[[#This Row],[Winkel2]]=select!$A$2,1,0)</f>
        <v>0</v>
      </c>
      <c r="E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" s="46">
        <f>IF(select!$E$16=IF(Tabelle1[[#This Row],[mit Dämpfung]]=1,1,IF(Tabelle1[[#This Row],[ohne Dämpfung]]=1,2,IF(Tabelle1[[#This Row],[ohne Feder]]=1,3,0))),1,0)</f>
        <v>1</v>
      </c>
      <c r="G18" s="46">
        <f>IF(Tabelle1[[#This Row],[Links]]=select!$I$2,1,0)</f>
        <v>0</v>
      </c>
      <c r="H18" s="46">
        <f>IF(IF(Tabelle1[[#This Row],[Anschrauben]]=1,1,IF(Tabelle1[[#This Row],[Einpressen]]=1,2,IF(Tabelle1[[#This Row],[Werkzeuglos]]=1,3,0)))=select!$E$7,1,0)</f>
        <v>0</v>
      </c>
      <c r="I18" s="46">
        <f ca="1">IF(Tabelle1[[#This Row],[Winkel]]+Tabelle1[[#This Row],[Kröpfung]]+Tabelle1[[#This Row],[Däpfung]]+Tabelle1[[#This Row],[Bohrbild]]+Tabelle1[[#This Row],[Scharnierbefestigung]]=5,1,0)</f>
        <v>0</v>
      </c>
      <c r="J18" t="str">
        <f ca="1">Sprache!$A$56</f>
        <v>TIOMOS hinge TS-Impresso</v>
      </c>
      <c r="K18" t="s">
        <v>89</v>
      </c>
      <c r="L18" t="s">
        <v>73</v>
      </c>
      <c r="M18">
        <v>0</v>
      </c>
      <c r="N18" s="13" t="s">
        <v>12</v>
      </c>
      <c r="O18">
        <v>160</v>
      </c>
      <c r="P18">
        <v>1</v>
      </c>
      <c r="Q18">
        <v>0</v>
      </c>
      <c r="R18">
        <v>0</v>
      </c>
      <c r="S18">
        <v>0</v>
      </c>
      <c r="T18">
        <v>0</v>
      </c>
      <c r="U18">
        <v>1</v>
      </c>
      <c r="V18" s="14" t="s">
        <v>88</v>
      </c>
    </row>
    <row r="19" spans="1:22" ht="14.25" customHeight="1" x14ac:dyDescent="0.25">
      <c r="A19" s="48" t="str">
        <f>LEFT(Tabelle1[[#This Row],[Artikel'#]],4)</f>
        <v>F017</v>
      </c>
      <c r="B19" s="46" t="str">
        <f>MID(Tabelle1[[#This Row],[Artikel'#]],5,3)</f>
        <v>139</v>
      </c>
      <c r="C19" s="48" t="str">
        <f>RIGHT(Tabelle1[[#This Row],[Artikel'#]],3)</f>
        <v>350</v>
      </c>
      <c r="D19" s="46">
        <f>IF(Tabelle1[[#This Row],[Winkel2]]=select!$A$2,1,0)</f>
        <v>0</v>
      </c>
      <c r="E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" s="46">
        <f>IF(select!$E$16=IF(Tabelle1[[#This Row],[mit Dämpfung]]=1,1,IF(Tabelle1[[#This Row],[ohne Dämpfung]]=1,2,IF(Tabelle1[[#This Row],[ohne Feder]]=1,3,0))),1,0)</f>
        <v>1</v>
      </c>
      <c r="G19" s="46">
        <f>IF(Tabelle1[[#This Row],[Links]]=select!$I$2,1,0)</f>
        <v>1</v>
      </c>
      <c r="H19" s="46">
        <f>IF(IF(Tabelle1[[#This Row],[Anschrauben]]=1,1,IF(Tabelle1[[#This Row],[Einpressen]]=1,2,IF(Tabelle1[[#This Row],[Werkzeuglos]]=1,3,0)))=select!$E$7,1,0)</f>
        <v>0</v>
      </c>
      <c r="I19" s="46">
        <f ca="1">IF(Tabelle1[[#This Row],[Winkel]]+Tabelle1[[#This Row],[Kröpfung]]+Tabelle1[[#This Row],[Däpfung]]+Tabelle1[[#This Row],[Bohrbild]]+Tabelle1[[#This Row],[Scharnierbefestigung]]=5,1,0)</f>
        <v>0</v>
      </c>
      <c r="J19" t="str">
        <f ca="1">Sprache!$A$56</f>
        <v>TIOMOS hinge TS-Impresso</v>
      </c>
      <c r="K19" t="s">
        <v>89</v>
      </c>
      <c r="L19" t="s">
        <v>73</v>
      </c>
      <c r="M19">
        <v>0</v>
      </c>
      <c r="N19" s="13" t="s">
        <v>3</v>
      </c>
      <c r="O19">
        <v>160</v>
      </c>
      <c r="P19">
        <v>1</v>
      </c>
      <c r="Q19">
        <v>0</v>
      </c>
      <c r="R19">
        <v>0</v>
      </c>
      <c r="S19">
        <v>0</v>
      </c>
      <c r="T19">
        <v>0</v>
      </c>
      <c r="U19">
        <v>1</v>
      </c>
      <c r="V19" s="14" t="s">
        <v>88</v>
      </c>
    </row>
    <row r="20" spans="1:22" ht="14.25" customHeight="1" x14ac:dyDescent="0.25">
      <c r="A20" s="48" t="str">
        <f>LEFT(Tabelle1[[#This Row],[Artikel'#]],4)</f>
        <v>F017</v>
      </c>
      <c r="B20" s="46" t="str">
        <f>MID(Tabelle1[[#This Row],[Artikel'#]],5,3)</f>
        <v>139</v>
      </c>
      <c r="C20" s="48" t="str">
        <f>RIGHT(Tabelle1[[#This Row],[Artikel'#]],3)</f>
        <v>351</v>
      </c>
      <c r="D20" s="46">
        <f>IF(Tabelle1[[#This Row],[Winkel2]]=select!$A$2,1,0)</f>
        <v>0</v>
      </c>
      <c r="E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" s="46">
        <f>IF(select!$E$16=IF(Tabelle1[[#This Row],[mit Dämpfung]]=1,1,IF(Tabelle1[[#This Row],[ohne Dämpfung]]=1,2,IF(Tabelle1[[#This Row],[ohne Feder]]=1,3,0))),1,0)</f>
        <v>1</v>
      </c>
      <c r="G20" s="46">
        <f>IF(Tabelle1[[#This Row],[Links]]=select!$I$2,1,0)</f>
        <v>0</v>
      </c>
      <c r="H20" s="46">
        <f>IF(IF(Tabelle1[[#This Row],[Anschrauben]]=1,1,IF(Tabelle1[[#This Row],[Einpressen]]=1,2,IF(Tabelle1[[#This Row],[Werkzeuglos]]=1,3,0)))=select!$E$7,1,0)</f>
        <v>0</v>
      </c>
      <c r="I20" s="46">
        <f ca="1">IF(Tabelle1[[#This Row],[Winkel]]+Tabelle1[[#This Row],[Kröpfung]]+Tabelle1[[#This Row],[Däpfung]]+Tabelle1[[#This Row],[Bohrbild]]+Tabelle1[[#This Row],[Scharnierbefestigung]]=5,1,0)</f>
        <v>0</v>
      </c>
      <c r="J20" t="str">
        <f ca="1">Sprache!$A$56</f>
        <v>TIOMOS hinge TS-Impresso</v>
      </c>
      <c r="K20" t="s">
        <v>91</v>
      </c>
      <c r="L20" t="s">
        <v>73</v>
      </c>
      <c r="M20">
        <v>3</v>
      </c>
      <c r="N20" t="s">
        <v>12</v>
      </c>
      <c r="O20">
        <v>160</v>
      </c>
      <c r="P20">
        <v>1</v>
      </c>
      <c r="Q20">
        <v>0</v>
      </c>
      <c r="R20">
        <v>0</v>
      </c>
      <c r="S20">
        <v>0</v>
      </c>
      <c r="T20">
        <v>0</v>
      </c>
      <c r="U20">
        <v>1</v>
      </c>
      <c r="V20" s="14" t="s">
        <v>90</v>
      </c>
    </row>
    <row r="21" spans="1:22" ht="14.25" customHeight="1" x14ac:dyDescent="0.25">
      <c r="A21" s="48" t="str">
        <f>LEFT(Tabelle1[[#This Row],[Artikel'#]],4)</f>
        <v>F017</v>
      </c>
      <c r="B21" s="46" t="str">
        <f>MID(Tabelle1[[#This Row],[Artikel'#]],5,3)</f>
        <v>139</v>
      </c>
      <c r="C21" s="48" t="str">
        <f>RIGHT(Tabelle1[[#This Row],[Artikel'#]],3)</f>
        <v>351</v>
      </c>
      <c r="D21" s="46">
        <f>IF(Tabelle1[[#This Row],[Winkel2]]=select!$A$2,1,0)</f>
        <v>0</v>
      </c>
      <c r="E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" s="46">
        <f>IF(select!$E$16=IF(Tabelle1[[#This Row],[mit Dämpfung]]=1,1,IF(Tabelle1[[#This Row],[ohne Dämpfung]]=1,2,IF(Tabelle1[[#This Row],[ohne Feder]]=1,3,0))),1,0)</f>
        <v>1</v>
      </c>
      <c r="G21" s="46">
        <f>IF(Tabelle1[[#This Row],[Links]]=select!$I$2,1,0)</f>
        <v>1</v>
      </c>
      <c r="H21" s="46">
        <f>IF(IF(Tabelle1[[#This Row],[Anschrauben]]=1,1,IF(Tabelle1[[#This Row],[Einpressen]]=1,2,IF(Tabelle1[[#This Row],[Werkzeuglos]]=1,3,0)))=select!$E$7,1,0)</f>
        <v>0</v>
      </c>
      <c r="I21" s="46">
        <f ca="1">IF(Tabelle1[[#This Row],[Winkel]]+Tabelle1[[#This Row],[Kröpfung]]+Tabelle1[[#This Row],[Däpfung]]+Tabelle1[[#This Row],[Bohrbild]]+Tabelle1[[#This Row],[Scharnierbefestigung]]=5,1,0)</f>
        <v>0</v>
      </c>
      <c r="J21" t="str">
        <f ca="1">Sprache!$A$56</f>
        <v>TIOMOS hinge TS-Impresso</v>
      </c>
      <c r="K21" t="s">
        <v>91</v>
      </c>
      <c r="L21" t="s">
        <v>73</v>
      </c>
      <c r="M21">
        <v>3</v>
      </c>
      <c r="N21" t="s">
        <v>3</v>
      </c>
      <c r="O21">
        <v>160</v>
      </c>
      <c r="P21">
        <v>1</v>
      </c>
      <c r="Q21">
        <v>0</v>
      </c>
      <c r="R21">
        <v>0</v>
      </c>
      <c r="S21">
        <v>0</v>
      </c>
      <c r="T21">
        <v>0</v>
      </c>
      <c r="U21">
        <v>1</v>
      </c>
      <c r="V21" s="14" t="s">
        <v>90</v>
      </c>
    </row>
    <row r="22" spans="1:22" ht="14.25" customHeight="1" x14ac:dyDescent="0.25">
      <c r="A22" s="48" t="str">
        <f>LEFT(Tabelle1[[#This Row],[Artikel'#]],4)</f>
        <v>F017</v>
      </c>
      <c r="B22" s="46" t="str">
        <f>MID(Tabelle1[[#This Row],[Artikel'#]],5,3)</f>
        <v>139</v>
      </c>
      <c r="C22" s="48" t="str">
        <f>RIGHT(Tabelle1[[#This Row],[Artikel'#]],3)</f>
        <v>352</v>
      </c>
      <c r="D22" s="46">
        <f>IF(Tabelle1[[#This Row],[Winkel2]]=select!$A$2,1,0)</f>
        <v>0</v>
      </c>
      <c r="E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2" s="46">
        <f>IF(select!$E$16=IF(Tabelle1[[#This Row],[mit Dämpfung]]=1,1,IF(Tabelle1[[#This Row],[ohne Dämpfung]]=1,2,IF(Tabelle1[[#This Row],[ohne Feder]]=1,3,0))),1,0)</f>
        <v>1</v>
      </c>
      <c r="G22" s="46">
        <f>IF(Tabelle1[[#This Row],[Links]]=select!$I$2,1,0)</f>
        <v>0</v>
      </c>
      <c r="H22" s="46">
        <f>IF(IF(Tabelle1[[#This Row],[Anschrauben]]=1,1,IF(Tabelle1[[#This Row],[Einpressen]]=1,2,IF(Tabelle1[[#This Row],[Werkzeuglos]]=1,3,0)))=select!$E$7,1,0)</f>
        <v>0</v>
      </c>
      <c r="I22" s="46">
        <f ca="1">IF(Tabelle1[[#This Row],[Winkel]]+Tabelle1[[#This Row],[Kröpfung]]+Tabelle1[[#This Row],[Däpfung]]+Tabelle1[[#This Row],[Bohrbild]]+Tabelle1[[#This Row],[Scharnierbefestigung]]=5,1,0)</f>
        <v>0</v>
      </c>
      <c r="J22" t="str">
        <f ca="1">Sprache!$A$56</f>
        <v>TIOMOS hinge TS-Impresso</v>
      </c>
      <c r="K22" t="s">
        <v>93</v>
      </c>
      <c r="L22" t="s">
        <v>73</v>
      </c>
      <c r="M22">
        <v>9.5</v>
      </c>
      <c r="N22" t="s">
        <v>12</v>
      </c>
      <c r="O22">
        <v>160</v>
      </c>
      <c r="P22">
        <v>1</v>
      </c>
      <c r="Q22">
        <v>0</v>
      </c>
      <c r="R22">
        <v>0</v>
      </c>
      <c r="S22">
        <v>0</v>
      </c>
      <c r="T22">
        <v>0</v>
      </c>
      <c r="U22">
        <v>1</v>
      </c>
      <c r="V22" s="14" t="s">
        <v>92</v>
      </c>
    </row>
    <row r="23" spans="1:22" ht="14.25" customHeight="1" x14ac:dyDescent="0.25">
      <c r="A23" s="48" t="str">
        <f>LEFT(Tabelle1[[#This Row],[Artikel'#]],4)</f>
        <v>F017</v>
      </c>
      <c r="B23" s="46" t="str">
        <f>MID(Tabelle1[[#This Row],[Artikel'#]],5,3)</f>
        <v>139</v>
      </c>
      <c r="C23" s="48" t="str">
        <f>RIGHT(Tabelle1[[#This Row],[Artikel'#]],3)</f>
        <v>352</v>
      </c>
      <c r="D23" s="46">
        <f>IF(Tabelle1[[#This Row],[Winkel2]]=select!$A$2,1,0)</f>
        <v>0</v>
      </c>
      <c r="E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3" s="46">
        <f>IF(select!$E$16=IF(Tabelle1[[#This Row],[mit Dämpfung]]=1,1,IF(Tabelle1[[#This Row],[ohne Dämpfung]]=1,2,IF(Tabelle1[[#This Row],[ohne Feder]]=1,3,0))),1,0)</f>
        <v>1</v>
      </c>
      <c r="G23" s="46">
        <f>IF(Tabelle1[[#This Row],[Links]]=select!$I$2,1,0)</f>
        <v>1</v>
      </c>
      <c r="H23" s="46">
        <f>IF(IF(Tabelle1[[#This Row],[Anschrauben]]=1,1,IF(Tabelle1[[#This Row],[Einpressen]]=1,2,IF(Tabelle1[[#This Row],[Werkzeuglos]]=1,3,0)))=select!$E$7,1,0)</f>
        <v>0</v>
      </c>
      <c r="I23" s="46">
        <f ca="1">IF(Tabelle1[[#This Row],[Winkel]]+Tabelle1[[#This Row],[Kröpfung]]+Tabelle1[[#This Row],[Däpfung]]+Tabelle1[[#This Row],[Bohrbild]]+Tabelle1[[#This Row],[Scharnierbefestigung]]=5,1,0)</f>
        <v>0</v>
      </c>
      <c r="J23" t="str">
        <f ca="1">Sprache!$A$56</f>
        <v>TIOMOS hinge TS-Impresso</v>
      </c>
      <c r="K23" t="s">
        <v>93</v>
      </c>
      <c r="L23" t="s">
        <v>73</v>
      </c>
      <c r="M23">
        <v>9.5</v>
      </c>
      <c r="N23" t="s">
        <v>3</v>
      </c>
      <c r="O23">
        <v>160</v>
      </c>
      <c r="P23">
        <v>1</v>
      </c>
      <c r="Q23">
        <v>0</v>
      </c>
      <c r="R23">
        <v>0</v>
      </c>
      <c r="S23">
        <v>0</v>
      </c>
      <c r="T23">
        <v>0</v>
      </c>
      <c r="U23">
        <v>1</v>
      </c>
      <c r="V23" s="14" t="s">
        <v>92</v>
      </c>
    </row>
    <row r="24" spans="1:22" ht="14.25" customHeight="1" x14ac:dyDescent="0.25">
      <c r="A24" s="48" t="str">
        <f>LEFT(Tabelle1[[#This Row],[Artikel'#]],4)</f>
        <v>F017</v>
      </c>
      <c r="B24" s="46" t="str">
        <f>MID(Tabelle1[[#This Row],[Artikel'#]],5,3)</f>
        <v>139</v>
      </c>
      <c r="C24" s="48" t="str">
        <f>RIGHT(Tabelle1[[#This Row],[Artikel'#]],3)</f>
        <v>353</v>
      </c>
      <c r="D24" s="46">
        <f>IF(Tabelle1[[#This Row],[Winkel2]]=select!$A$2,1,0)</f>
        <v>0</v>
      </c>
      <c r="E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" s="46">
        <f>IF(select!$E$16=IF(Tabelle1[[#This Row],[mit Dämpfung]]=1,1,IF(Tabelle1[[#This Row],[ohne Dämpfung]]=1,2,IF(Tabelle1[[#This Row],[ohne Feder]]=1,3,0))),1,0)</f>
        <v>1</v>
      </c>
      <c r="G24" s="46">
        <f>IF(Tabelle1[[#This Row],[Links]]=select!$I$2,1,0)</f>
        <v>0</v>
      </c>
      <c r="H24" s="46">
        <f>IF(IF(Tabelle1[[#This Row],[Anschrauben]]=1,1,IF(Tabelle1[[#This Row],[Einpressen]]=1,2,IF(Tabelle1[[#This Row],[Werkzeuglos]]=1,3,0)))=select!$E$7,1,0)</f>
        <v>0</v>
      </c>
      <c r="I24" s="46">
        <f ca="1">IF(Tabelle1[[#This Row],[Winkel]]+Tabelle1[[#This Row],[Kröpfung]]+Tabelle1[[#This Row],[Däpfung]]+Tabelle1[[#This Row],[Bohrbild]]+Tabelle1[[#This Row],[Scharnierbefestigung]]=5,1,0)</f>
        <v>0</v>
      </c>
      <c r="J24" t="str">
        <f ca="1">Sprache!$A$56</f>
        <v>TIOMOS hinge TS-Impresso</v>
      </c>
      <c r="K24" t="s">
        <v>95</v>
      </c>
      <c r="L24" t="s">
        <v>73</v>
      </c>
      <c r="M24">
        <v>0</v>
      </c>
      <c r="N24" t="s">
        <v>12</v>
      </c>
      <c r="O24">
        <v>95</v>
      </c>
      <c r="P24">
        <v>1</v>
      </c>
      <c r="Q24">
        <v>0</v>
      </c>
      <c r="R24">
        <v>0</v>
      </c>
      <c r="S24">
        <v>0</v>
      </c>
      <c r="T24">
        <v>0</v>
      </c>
      <c r="U24">
        <v>1</v>
      </c>
      <c r="V24" s="14" t="s">
        <v>94</v>
      </c>
    </row>
    <row r="25" spans="1:22" ht="14.25" customHeight="1" x14ac:dyDescent="0.25">
      <c r="A25" s="48" t="str">
        <f>LEFT(Tabelle1[[#This Row],[Artikel'#]],4)</f>
        <v>F017</v>
      </c>
      <c r="B25" s="46" t="str">
        <f>MID(Tabelle1[[#This Row],[Artikel'#]],5,3)</f>
        <v>139</v>
      </c>
      <c r="C25" s="48" t="str">
        <f>RIGHT(Tabelle1[[#This Row],[Artikel'#]],3)</f>
        <v>353</v>
      </c>
      <c r="D25" s="46">
        <f>IF(Tabelle1[[#This Row],[Winkel2]]=select!$A$2,1,0)</f>
        <v>0</v>
      </c>
      <c r="E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" s="46">
        <f>IF(select!$E$16=IF(Tabelle1[[#This Row],[mit Dämpfung]]=1,1,IF(Tabelle1[[#This Row],[ohne Dämpfung]]=1,2,IF(Tabelle1[[#This Row],[ohne Feder]]=1,3,0))),1,0)</f>
        <v>1</v>
      </c>
      <c r="G25" s="46">
        <f>IF(Tabelle1[[#This Row],[Links]]=select!$I$2,1,0)</f>
        <v>1</v>
      </c>
      <c r="H25" s="46">
        <f>IF(IF(Tabelle1[[#This Row],[Anschrauben]]=1,1,IF(Tabelle1[[#This Row],[Einpressen]]=1,2,IF(Tabelle1[[#This Row],[Werkzeuglos]]=1,3,0)))=select!$E$7,1,0)</f>
        <v>0</v>
      </c>
      <c r="I25" s="46">
        <f ca="1">IF(Tabelle1[[#This Row],[Winkel]]+Tabelle1[[#This Row],[Kröpfung]]+Tabelle1[[#This Row],[Däpfung]]+Tabelle1[[#This Row],[Bohrbild]]+Tabelle1[[#This Row],[Scharnierbefestigung]]=5,1,0)</f>
        <v>0</v>
      </c>
      <c r="J25" t="str">
        <f ca="1">Sprache!$A$56</f>
        <v>TIOMOS hinge TS-Impresso</v>
      </c>
      <c r="K25" t="s">
        <v>95</v>
      </c>
      <c r="L25" t="s">
        <v>73</v>
      </c>
      <c r="M25">
        <v>0</v>
      </c>
      <c r="N25" t="s">
        <v>3</v>
      </c>
      <c r="O25">
        <v>95</v>
      </c>
      <c r="P25">
        <v>1</v>
      </c>
      <c r="Q25">
        <v>0</v>
      </c>
      <c r="R25">
        <v>0</v>
      </c>
      <c r="S25">
        <v>0</v>
      </c>
      <c r="T25">
        <v>0</v>
      </c>
      <c r="U25">
        <v>1</v>
      </c>
      <c r="V25" s="14" t="s">
        <v>94</v>
      </c>
    </row>
    <row r="26" spans="1:22" ht="14.25" customHeight="1" x14ac:dyDescent="0.25">
      <c r="A26" s="48" t="str">
        <f>LEFT(Tabelle1[[#This Row],[Artikel'#]],4)</f>
        <v>F017</v>
      </c>
      <c r="B26" s="46" t="str">
        <f>MID(Tabelle1[[#This Row],[Artikel'#]],5,3)</f>
        <v>139</v>
      </c>
      <c r="C26" s="48" t="str">
        <f>RIGHT(Tabelle1[[#This Row],[Artikel'#]],3)</f>
        <v>354</v>
      </c>
      <c r="D26" s="46">
        <f>IF(Tabelle1[[#This Row],[Winkel2]]=select!$A$2,1,0)</f>
        <v>0</v>
      </c>
      <c r="E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" s="46">
        <f>IF(select!$E$16=IF(Tabelle1[[#This Row],[mit Dämpfung]]=1,1,IF(Tabelle1[[#This Row],[ohne Dämpfung]]=1,2,IF(Tabelle1[[#This Row],[ohne Feder]]=1,3,0))),1,0)</f>
        <v>1</v>
      </c>
      <c r="G26" s="46">
        <f>IF(Tabelle1[[#This Row],[Links]]=select!$I$2,1,0)</f>
        <v>0</v>
      </c>
      <c r="H26" s="46">
        <f>IF(IF(Tabelle1[[#This Row],[Anschrauben]]=1,1,IF(Tabelle1[[#This Row],[Einpressen]]=1,2,IF(Tabelle1[[#This Row],[Werkzeuglos]]=1,3,0)))=select!$E$7,1,0)</f>
        <v>0</v>
      </c>
      <c r="I26" s="46">
        <f ca="1">IF(Tabelle1[[#This Row],[Winkel]]+Tabelle1[[#This Row],[Kröpfung]]+Tabelle1[[#This Row],[Däpfung]]+Tabelle1[[#This Row],[Bohrbild]]+Tabelle1[[#This Row],[Scharnierbefestigung]]=5,1,0)</f>
        <v>0</v>
      </c>
      <c r="J26" t="str">
        <f ca="1">Sprache!$A$56</f>
        <v>TIOMOS hinge TS-Impresso</v>
      </c>
      <c r="K26" t="s">
        <v>97</v>
      </c>
      <c r="L26" t="s">
        <v>73</v>
      </c>
      <c r="M26">
        <v>3</v>
      </c>
      <c r="N26" t="s">
        <v>12</v>
      </c>
      <c r="O26">
        <v>95</v>
      </c>
      <c r="P26">
        <v>1</v>
      </c>
      <c r="Q26">
        <v>0</v>
      </c>
      <c r="R26">
        <v>0</v>
      </c>
      <c r="S26">
        <v>0</v>
      </c>
      <c r="T26">
        <v>0</v>
      </c>
      <c r="U26">
        <v>1</v>
      </c>
      <c r="V26" s="14" t="s">
        <v>96</v>
      </c>
    </row>
    <row r="27" spans="1:22" ht="14.25" customHeight="1" x14ac:dyDescent="0.25">
      <c r="A27" s="48" t="str">
        <f>LEFT(Tabelle1[[#This Row],[Artikel'#]],4)</f>
        <v>F017</v>
      </c>
      <c r="B27" s="46" t="str">
        <f>MID(Tabelle1[[#This Row],[Artikel'#]],5,3)</f>
        <v>139</v>
      </c>
      <c r="C27" s="48" t="str">
        <f>RIGHT(Tabelle1[[#This Row],[Artikel'#]],3)</f>
        <v>354</v>
      </c>
      <c r="D27" s="46">
        <f>IF(Tabelle1[[#This Row],[Winkel2]]=select!$A$2,1,0)</f>
        <v>0</v>
      </c>
      <c r="E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" s="46">
        <f>IF(select!$E$16=IF(Tabelle1[[#This Row],[mit Dämpfung]]=1,1,IF(Tabelle1[[#This Row],[ohne Dämpfung]]=1,2,IF(Tabelle1[[#This Row],[ohne Feder]]=1,3,0))),1,0)</f>
        <v>1</v>
      </c>
      <c r="G27" s="46">
        <f>IF(Tabelle1[[#This Row],[Links]]=select!$I$2,1,0)</f>
        <v>1</v>
      </c>
      <c r="H27" s="46">
        <f>IF(IF(Tabelle1[[#This Row],[Anschrauben]]=1,1,IF(Tabelle1[[#This Row],[Einpressen]]=1,2,IF(Tabelle1[[#This Row],[Werkzeuglos]]=1,3,0)))=select!$E$7,1,0)</f>
        <v>0</v>
      </c>
      <c r="I27" s="46">
        <f ca="1">IF(Tabelle1[[#This Row],[Winkel]]+Tabelle1[[#This Row],[Kröpfung]]+Tabelle1[[#This Row],[Däpfung]]+Tabelle1[[#This Row],[Bohrbild]]+Tabelle1[[#This Row],[Scharnierbefestigung]]=5,1,0)</f>
        <v>0</v>
      </c>
      <c r="J27" t="str">
        <f ca="1">Sprache!$A$56</f>
        <v>TIOMOS hinge TS-Impresso</v>
      </c>
      <c r="K27" t="s">
        <v>97</v>
      </c>
      <c r="L27" t="s">
        <v>73</v>
      </c>
      <c r="M27">
        <v>3</v>
      </c>
      <c r="N27" t="s">
        <v>3</v>
      </c>
      <c r="O27">
        <v>95</v>
      </c>
      <c r="P27">
        <v>1</v>
      </c>
      <c r="Q27">
        <v>0</v>
      </c>
      <c r="R27">
        <v>0</v>
      </c>
      <c r="S27">
        <v>0</v>
      </c>
      <c r="T27">
        <v>0</v>
      </c>
      <c r="U27">
        <v>1</v>
      </c>
      <c r="V27" s="14" t="s">
        <v>96</v>
      </c>
    </row>
    <row r="28" spans="1:22" ht="14.25" customHeight="1" x14ac:dyDescent="0.25">
      <c r="A28" s="48" t="str">
        <f>LEFT(Tabelle1[[#This Row],[Artikel'#]],4)</f>
        <v>F017</v>
      </c>
      <c r="B28" s="46" t="str">
        <f>MID(Tabelle1[[#This Row],[Artikel'#]],5,3)</f>
        <v>139</v>
      </c>
      <c r="C28" s="48" t="str">
        <f>RIGHT(Tabelle1[[#This Row],[Artikel'#]],3)</f>
        <v>355</v>
      </c>
      <c r="D28" s="46">
        <f>IF(Tabelle1[[#This Row],[Winkel2]]=select!$A$2,1,0)</f>
        <v>0</v>
      </c>
      <c r="E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8" s="46">
        <f>IF(select!$E$16=IF(Tabelle1[[#This Row],[mit Dämpfung]]=1,1,IF(Tabelle1[[#This Row],[ohne Dämpfung]]=1,2,IF(Tabelle1[[#This Row],[ohne Feder]]=1,3,0))),1,0)</f>
        <v>1</v>
      </c>
      <c r="G28" s="46">
        <f>IF(Tabelle1[[#This Row],[Links]]=select!$I$2,1,0)</f>
        <v>0</v>
      </c>
      <c r="H28" s="46">
        <f>IF(IF(Tabelle1[[#This Row],[Anschrauben]]=1,1,IF(Tabelle1[[#This Row],[Einpressen]]=1,2,IF(Tabelle1[[#This Row],[Werkzeuglos]]=1,3,0)))=select!$E$7,1,0)</f>
        <v>0</v>
      </c>
      <c r="I28" s="46">
        <f ca="1">IF(Tabelle1[[#This Row],[Winkel]]+Tabelle1[[#This Row],[Kröpfung]]+Tabelle1[[#This Row],[Däpfung]]+Tabelle1[[#This Row],[Bohrbild]]+Tabelle1[[#This Row],[Scharnierbefestigung]]=5,1,0)</f>
        <v>0</v>
      </c>
      <c r="J28" t="str">
        <f ca="1">Sprache!$A$56</f>
        <v>TIOMOS hinge TS-Impresso</v>
      </c>
      <c r="K28" t="s">
        <v>99</v>
      </c>
      <c r="L28" t="s">
        <v>73</v>
      </c>
      <c r="M28">
        <v>9.5</v>
      </c>
      <c r="N28" t="s">
        <v>12</v>
      </c>
      <c r="O28">
        <v>95</v>
      </c>
      <c r="P28">
        <v>1</v>
      </c>
      <c r="Q28">
        <v>0</v>
      </c>
      <c r="R28">
        <v>0</v>
      </c>
      <c r="S28">
        <v>0</v>
      </c>
      <c r="T28">
        <v>0</v>
      </c>
      <c r="U28">
        <v>1</v>
      </c>
      <c r="V28" s="14" t="s">
        <v>98</v>
      </c>
    </row>
    <row r="29" spans="1:22" ht="14.25" customHeight="1" x14ac:dyDescent="0.25">
      <c r="A29" s="48" t="str">
        <f>LEFT(Tabelle1[[#This Row],[Artikel'#]],4)</f>
        <v>F017</v>
      </c>
      <c r="B29" s="46" t="str">
        <f>MID(Tabelle1[[#This Row],[Artikel'#]],5,3)</f>
        <v>139</v>
      </c>
      <c r="C29" s="48" t="str">
        <f>RIGHT(Tabelle1[[#This Row],[Artikel'#]],3)</f>
        <v>355</v>
      </c>
      <c r="D29" s="46">
        <f>IF(Tabelle1[[#This Row],[Winkel2]]=select!$A$2,1,0)</f>
        <v>0</v>
      </c>
      <c r="E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9" s="46">
        <f>IF(select!$E$16=IF(Tabelle1[[#This Row],[mit Dämpfung]]=1,1,IF(Tabelle1[[#This Row],[ohne Dämpfung]]=1,2,IF(Tabelle1[[#This Row],[ohne Feder]]=1,3,0))),1,0)</f>
        <v>1</v>
      </c>
      <c r="G29" s="46">
        <f>IF(Tabelle1[[#This Row],[Links]]=select!$I$2,1,0)</f>
        <v>1</v>
      </c>
      <c r="H29" s="46">
        <f>IF(IF(Tabelle1[[#This Row],[Anschrauben]]=1,1,IF(Tabelle1[[#This Row],[Einpressen]]=1,2,IF(Tabelle1[[#This Row],[Werkzeuglos]]=1,3,0)))=select!$E$7,1,0)</f>
        <v>0</v>
      </c>
      <c r="I29" s="46">
        <f ca="1">IF(Tabelle1[[#This Row],[Winkel]]+Tabelle1[[#This Row],[Kröpfung]]+Tabelle1[[#This Row],[Däpfung]]+Tabelle1[[#This Row],[Bohrbild]]+Tabelle1[[#This Row],[Scharnierbefestigung]]=5,1,0)</f>
        <v>0</v>
      </c>
      <c r="J29" t="str">
        <f ca="1">Sprache!$A$56</f>
        <v>TIOMOS hinge TS-Impresso</v>
      </c>
      <c r="K29" t="s">
        <v>99</v>
      </c>
      <c r="L29" t="s">
        <v>73</v>
      </c>
      <c r="M29">
        <v>9.5</v>
      </c>
      <c r="N29" t="s">
        <v>3</v>
      </c>
      <c r="O29">
        <v>95</v>
      </c>
      <c r="P29">
        <v>1</v>
      </c>
      <c r="Q29">
        <v>0</v>
      </c>
      <c r="R29">
        <v>0</v>
      </c>
      <c r="S29">
        <v>0</v>
      </c>
      <c r="T29">
        <v>0</v>
      </c>
      <c r="U29">
        <v>1</v>
      </c>
      <c r="V29" s="14" t="s">
        <v>98</v>
      </c>
    </row>
    <row r="30" spans="1:22" ht="14.25" customHeight="1" x14ac:dyDescent="0.25">
      <c r="A30" s="48" t="str">
        <f>LEFT(Tabelle1[[#This Row],[Artikel'#]],4)</f>
        <v>F017</v>
      </c>
      <c r="B30" s="46" t="str">
        <f>MID(Tabelle1[[#This Row],[Artikel'#]],5,3)</f>
        <v>139</v>
      </c>
      <c r="C30" s="48" t="str">
        <f>RIGHT(Tabelle1[[#This Row],[Artikel'#]],3)</f>
        <v>356</v>
      </c>
      <c r="D30" s="46">
        <f>IF(Tabelle1[[#This Row],[Winkel2]]=select!$A$2,1,0)</f>
        <v>0</v>
      </c>
      <c r="E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" s="46">
        <f>IF(select!$E$16=IF(Tabelle1[[#This Row],[mit Dämpfung]]=1,1,IF(Tabelle1[[#This Row],[ohne Dämpfung]]=1,2,IF(Tabelle1[[#This Row],[ohne Feder]]=1,3,0))),1,0)</f>
        <v>1</v>
      </c>
      <c r="G30" s="46">
        <f>IF(Tabelle1[[#This Row],[Links]]=select!$I$2,1,0)</f>
        <v>0</v>
      </c>
      <c r="H30" s="46">
        <f>IF(IF(Tabelle1[[#This Row],[Anschrauben]]=1,1,IF(Tabelle1[[#This Row],[Einpressen]]=1,2,IF(Tabelle1[[#This Row],[Werkzeuglos]]=1,3,0)))=select!$E$7,1,0)</f>
        <v>0</v>
      </c>
      <c r="I30" s="46">
        <f ca="1">IF(Tabelle1[[#This Row],[Winkel]]+Tabelle1[[#This Row],[Kröpfung]]+Tabelle1[[#This Row],[Däpfung]]+Tabelle1[[#This Row],[Bohrbild]]+Tabelle1[[#This Row],[Scharnierbefestigung]]=5,1,0)</f>
        <v>0</v>
      </c>
      <c r="J30" t="str">
        <f ca="1">Sprache!$A$56</f>
        <v>TIOMOS hinge TS-Impresso</v>
      </c>
      <c r="K30" t="s">
        <v>101</v>
      </c>
      <c r="L30" t="s">
        <v>73</v>
      </c>
      <c r="M30">
        <v>19</v>
      </c>
      <c r="N30" t="s">
        <v>12</v>
      </c>
      <c r="O30">
        <v>95</v>
      </c>
      <c r="P30">
        <v>1</v>
      </c>
      <c r="Q30">
        <v>0</v>
      </c>
      <c r="R30">
        <v>0</v>
      </c>
      <c r="S30">
        <v>0</v>
      </c>
      <c r="T30">
        <v>0</v>
      </c>
      <c r="U30">
        <v>1</v>
      </c>
      <c r="V30" s="14" t="s">
        <v>100</v>
      </c>
    </row>
    <row r="31" spans="1:22" ht="14.25" customHeight="1" x14ac:dyDescent="0.25">
      <c r="A31" s="48" t="str">
        <f>LEFT(Tabelle1[[#This Row],[Artikel'#]],4)</f>
        <v>F017</v>
      </c>
      <c r="B31" s="46" t="str">
        <f>MID(Tabelle1[[#This Row],[Artikel'#]],5,3)</f>
        <v>139</v>
      </c>
      <c r="C31" s="48" t="str">
        <f>RIGHT(Tabelle1[[#This Row],[Artikel'#]],3)</f>
        <v>356</v>
      </c>
      <c r="D31" s="46">
        <f>IF(Tabelle1[[#This Row],[Winkel2]]=select!$A$2,1,0)</f>
        <v>0</v>
      </c>
      <c r="E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" s="46">
        <f>IF(select!$E$16=IF(Tabelle1[[#This Row],[mit Dämpfung]]=1,1,IF(Tabelle1[[#This Row],[ohne Dämpfung]]=1,2,IF(Tabelle1[[#This Row],[ohne Feder]]=1,3,0))),1,0)</f>
        <v>1</v>
      </c>
      <c r="G31" s="46">
        <f>IF(Tabelle1[[#This Row],[Links]]=select!$I$2,1,0)</f>
        <v>1</v>
      </c>
      <c r="H31" s="46">
        <f>IF(IF(Tabelle1[[#This Row],[Anschrauben]]=1,1,IF(Tabelle1[[#This Row],[Einpressen]]=1,2,IF(Tabelle1[[#This Row],[Werkzeuglos]]=1,3,0)))=select!$E$7,1,0)</f>
        <v>0</v>
      </c>
      <c r="I31" s="46">
        <f ca="1">IF(Tabelle1[[#This Row],[Winkel]]+Tabelle1[[#This Row],[Kröpfung]]+Tabelle1[[#This Row],[Däpfung]]+Tabelle1[[#This Row],[Bohrbild]]+Tabelle1[[#This Row],[Scharnierbefestigung]]=5,1,0)</f>
        <v>0</v>
      </c>
      <c r="J31" t="str">
        <f ca="1">Sprache!$A$56</f>
        <v>TIOMOS hinge TS-Impresso</v>
      </c>
      <c r="K31" t="s">
        <v>101</v>
      </c>
      <c r="L31" t="s">
        <v>73</v>
      </c>
      <c r="M31">
        <v>19</v>
      </c>
      <c r="N31" t="s">
        <v>3</v>
      </c>
      <c r="O31">
        <v>95</v>
      </c>
      <c r="P31">
        <v>1</v>
      </c>
      <c r="Q31">
        <v>0</v>
      </c>
      <c r="R31">
        <v>0</v>
      </c>
      <c r="S31">
        <v>0</v>
      </c>
      <c r="T31">
        <v>0</v>
      </c>
      <c r="U31">
        <v>1</v>
      </c>
      <c r="V31" s="14" t="s">
        <v>100</v>
      </c>
    </row>
    <row r="32" spans="1:22" ht="14.25" customHeight="1" x14ac:dyDescent="0.25">
      <c r="A32" s="48" t="str">
        <f>LEFT(Tabelle1[[#This Row],[Artikel'#]],4)</f>
        <v>F017</v>
      </c>
      <c r="B32" s="46" t="str">
        <f>MID(Tabelle1[[#This Row],[Artikel'#]],5,3)</f>
        <v>139</v>
      </c>
      <c r="C32" s="48" t="str">
        <f>RIGHT(Tabelle1[[#This Row],[Artikel'#]],3)</f>
        <v>414</v>
      </c>
      <c r="D32" s="46">
        <f>IF(Tabelle1[[#This Row],[Winkel2]]=select!$A$2,1,0)</f>
        <v>1</v>
      </c>
      <c r="E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" s="46">
        <f>IF(select!$E$16=IF(Tabelle1[[#This Row],[mit Dämpfung]]=1,1,IF(Tabelle1[[#This Row],[ohne Dämpfung]]=1,2,IF(Tabelle1[[#This Row],[ohne Feder]]=1,3,0))),1,0)</f>
        <v>1</v>
      </c>
      <c r="G32" s="46">
        <f>IF(Tabelle1[[#This Row],[Links]]=select!$I$2,1,0)</f>
        <v>0</v>
      </c>
      <c r="H32" s="46">
        <f>IF(IF(Tabelle1[[#This Row],[Anschrauben]]=1,1,IF(Tabelle1[[#This Row],[Einpressen]]=1,2,IF(Tabelle1[[#This Row],[Werkzeuglos]]=1,3,0)))=select!$E$7,1,0)</f>
        <v>0</v>
      </c>
      <c r="I32" s="46">
        <f ca="1">IF(Tabelle1[[#This Row],[Winkel]]+Tabelle1[[#This Row],[Kröpfung]]+Tabelle1[[#This Row],[Däpfung]]+Tabelle1[[#This Row],[Bohrbild]]+Tabelle1[[#This Row],[Scharnierbefestigung]]=5,1,0)</f>
        <v>0</v>
      </c>
      <c r="J32" t="str">
        <f ca="1">Sprache!$A$56</f>
        <v>TIOMOS hinge TS-Impresso</v>
      </c>
      <c r="K32" t="s">
        <v>103</v>
      </c>
      <c r="L32" t="s">
        <v>73</v>
      </c>
      <c r="M32">
        <v>0</v>
      </c>
      <c r="N32" t="s">
        <v>13</v>
      </c>
      <c r="O32">
        <v>110</v>
      </c>
      <c r="P32">
        <v>1</v>
      </c>
      <c r="Q32">
        <v>0</v>
      </c>
      <c r="R32">
        <v>0</v>
      </c>
      <c r="S32">
        <v>0</v>
      </c>
      <c r="T32">
        <v>0</v>
      </c>
      <c r="U32">
        <v>1</v>
      </c>
      <c r="V32" s="14" t="s">
        <v>102</v>
      </c>
    </row>
    <row r="33" spans="1:22" ht="14.25" customHeight="1" x14ac:dyDescent="0.25">
      <c r="A33" s="48" t="str">
        <f>LEFT(Tabelle1[[#This Row],[Artikel'#]],4)</f>
        <v>F017</v>
      </c>
      <c r="B33" s="46" t="str">
        <f>MID(Tabelle1[[#This Row],[Artikel'#]],5,3)</f>
        <v>139</v>
      </c>
      <c r="C33" s="48" t="str">
        <f>RIGHT(Tabelle1[[#This Row],[Artikel'#]],3)</f>
        <v>414</v>
      </c>
      <c r="D33" s="46">
        <f>IF(Tabelle1[[#This Row],[Winkel2]]=select!$A$2,1,0)</f>
        <v>1</v>
      </c>
      <c r="E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" s="46">
        <f>IF(select!$E$16=IF(Tabelle1[[#This Row],[mit Dämpfung]]=1,1,IF(Tabelle1[[#This Row],[ohne Dämpfung]]=1,2,IF(Tabelle1[[#This Row],[ohne Feder]]=1,3,0))),1,0)</f>
        <v>1</v>
      </c>
      <c r="G33" s="46">
        <f>IF(Tabelle1[[#This Row],[Links]]=select!$I$2,1,0)</f>
        <v>1</v>
      </c>
      <c r="H33" s="46">
        <f>IF(IF(Tabelle1[[#This Row],[Anschrauben]]=1,1,IF(Tabelle1[[#This Row],[Einpressen]]=1,2,IF(Tabelle1[[#This Row],[Werkzeuglos]]=1,3,0)))=select!$E$7,1,0)</f>
        <v>0</v>
      </c>
      <c r="I33" s="46">
        <f ca="1">IF(Tabelle1[[#This Row],[Winkel]]+Tabelle1[[#This Row],[Kröpfung]]+Tabelle1[[#This Row],[Däpfung]]+Tabelle1[[#This Row],[Bohrbild]]+Tabelle1[[#This Row],[Scharnierbefestigung]]=5,1,0)</f>
        <v>0</v>
      </c>
      <c r="J33" t="str">
        <f ca="1">Sprache!$A$56</f>
        <v>TIOMOS hinge TS-Impresso</v>
      </c>
      <c r="K33" t="s">
        <v>103</v>
      </c>
      <c r="L33" t="s">
        <v>73</v>
      </c>
      <c r="M33">
        <v>0</v>
      </c>
      <c r="N33" t="s">
        <v>3</v>
      </c>
      <c r="O33">
        <v>110</v>
      </c>
      <c r="P33">
        <v>1</v>
      </c>
      <c r="Q33">
        <v>0</v>
      </c>
      <c r="R33">
        <v>0</v>
      </c>
      <c r="S33">
        <v>0</v>
      </c>
      <c r="T33">
        <v>0</v>
      </c>
      <c r="U33">
        <v>1</v>
      </c>
      <c r="V33" s="14" t="s">
        <v>102</v>
      </c>
    </row>
    <row r="34" spans="1:22" ht="14.25" customHeight="1" x14ac:dyDescent="0.25">
      <c r="A34" s="48" t="str">
        <f>LEFT(Tabelle1[[#This Row],[Artikel'#]],4)</f>
        <v>F017</v>
      </c>
      <c r="B34" s="46" t="str">
        <f>MID(Tabelle1[[#This Row],[Artikel'#]],5,3)</f>
        <v>139</v>
      </c>
      <c r="C34" s="48" t="str">
        <f>RIGHT(Tabelle1[[#This Row],[Artikel'#]],3)</f>
        <v>415</v>
      </c>
      <c r="D34" s="46">
        <f>IF(Tabelle1[[#This Row],[Winkel2]]=select!$A$2,1,0)</f>
        <v>1</v>
      </c>
      <c r="E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" s="46">
        <f>IF(select!$E$16=IF(Tabelle1[[#This Row],[mit Dämpfung]]=1,1,IF(Tabelle1[[#This Row],[ohne Dämpfung]]=1,2,IF(Tabelle1[[#This Row],[ohne Feder]]=1,3,0))),1,0)</f>
        <v>1</v>
      </c>
      <c r="G34" s="46">
        <f>IF(Tabelle1[[#This Row],[Links]]=select!$I$2,1,0)</f>
        <v>0</v>
      </c>
      <c r="H34" s="46">
        <f>IF(IF(Tabelle1[[#This Row],[Anschrauben]]=1,1,IF(Tabelle1[[#This Row],[Einpressen]]=1,2,IF(Tabelle1[[#This Row],[Werkzeuglos]]=1,3,0)))=select!$E$7,1,0)</f>
        <v>0</v>
      </c>
      <c r="I34" s="46">
        <f ca="1">IF(Tabelle1[[#This Row],[Winkel]]+Tabelle1[[#This Row],[Kröpfung]]+Tabelle1[[#This Row],[Däpfung]]+Tabelle1[[#This Row],[Bohrbild]]+Tabelle1[[#This Row],[Scharnierbefestigung]]=5,1,0)</f>
        <v>0</v>
      </c>
      <c r="J34" t="str">
        <f ca="1">Sprache!$A$56</f>
        <v>TIOMOS hinge TS-Impresso</v>
      </c>
      <c r="K34" t="s">
        <v>105</v>
      </c>
      <c r="L34" t="s">
        <v>73</v>
      </c>
      <c r="M34">
        <v>3</v>
      </c>
      <c r="N34" t="s">
        <v>13</v>
      </c>
      <c r="O34">
        <v>110</v>
      </c>
      <c r="P34">
        <v>1</v>
      </c>
      <c r="Q34">
        <v>0</v>
      </c>
      <c r="R34">
        <v>0</v>
      </c>
      <c r="S34">
        <v>0</v>
      </c>
      <c r="T34">
        <v>0</v>
      </c>
      <c r="U34">
        <v>1</v>
      </c>
      <c r="V34" s="14" t="s">
        <v>104</v>
      </c>
    </row>
    <row r="35" spans="1:22" ht="14.25" customHeight="1" x14ac:dyDescent="0.25">
      <c r="A35" s="48" t="str">
        <f>LEFT(Tabelle1[[#This Row],[Artikel'#]],4)</f>
        <v>F017</v>
      </c>
      <c r="B35" s="46" t="str">
        <f>MID(Tabelle1[[#This Row],[Artikel'#]],5,3)</f>
        <v>139</v>
      </c>
      <c r="C35" s="48" t="str">
        <f>RIGHT(Tabelle1[[#This Row],[Artikel'#]],3)</f>
        <v>415</v>
      </c>
      <c r="D35" s="46">
        <f>IF(Tabelle1[[#This Row],[Winkel2]]=select!$A$2,1,0)</f>
        <v>1</v>
      </c>
      <c r="E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" s="46">
        <f>IF(select!$E$16=IF(Tabelle1[[#This Row],[mit Dämpfung]]=1,1,IF(Tabelle1[[#This Row],[ohne Dämpfung]]=1,2,IF(Tabelle1[[#This Row],[ohne Feder]]=1,3,0))),1,0)</f>
        <v>1</v>
      </c>
      <c r="G35" s="46">
        <f>IF(Tabelle1[[#This Row],[Links]]=select!$I$2,1,0)</f>
        <v>1</v>
      </c>
      <c r="H35" s="46">
        <f>IF(IF(Tabelle1[[#This Row],[Anschrauben]]=1,1,IF(Tabelle1[[#This Row],[Einpressen]]=1,2,IF(Tabelle1[[#This Row],[Werkzeuglos]]=1,3,0)))=select!$E$7,1,0)</f>
        <v>0</v>
      </c>
      <c r="I35" s="46">
        <f ca="1">IF(Tabelle1[[#This Row],[Winkel]]+Tabelle1[[#This Row],[Kröpfung]]+Tabelle1[[#This Row],[Däpfung]]+Tabelle1[[#This Row],[Bohrbild]]+Tabelle1[[#This Row],[Scharnierbefestigung]]=5,1,0)</f>
        <v>0</v>
      </c>
      <c r="J35" t="str">
        <f ca="1">Sprache!$A$56</f>
        <v>TIOMOS hinge TS-Impresso</v>
      </c>
      <c r="K35" t="s">
        <v>105</v>
      </c>
      <c r="L35" t="s">
        <v>73</v>
      </c>
      <c r="M35">
        <v>3</v>
      </c>
      <c r="N35" t="s">
        <v>3</v>
      </c>
      <c r="O35">
        <v>110</v>
      </c>
      <c r="P35">
        <v>1</v>
      </c>
      <c r="Q35">
        <v>0</v>
      </c>
      <c r="R35">
        <v>0</v>
      </c>
      <c r="S35">
        <v>0</v>
      </c>
      <c r="T35">
        <v>0</v>
      </c>
      <c r="U35">
        <v>1</v>
      </c>
      <c r="V35" s="14" t="s">
        <v>104</v>
      </c>
    </row>
    <row r="36" spans="1:22" ht="14.25" customHeight="1" x14ac:dyDescent="0.25">
      <c r="A36" s="48" t="str">
        <f>LEFT(Tabelle1[[#This Row],[Artikel'#]],4)</f>
        <v>F017</v>
      </c>
      <c r="B36" s="46" t="str">
        <f>MID(Tabelle1[[#This Row],[Artikel'#]],5,3)</f>
        <v>139</v>
      </c>
      <c r="C36" s="48" t="str">
        <f>RIGHT(Tabelle1[[#This Row],[Artikel'#]],3)</f>
        <v>416</v>
      </c>
      <c r="D36" s="46">
        <f>IF(Tabelle1[[#This Row],[Winkel2]]=select!$A$2,1,0)</f>
        <v>1</v>
      </c>
      <c r="E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6" s="46">
        <f>IF(select!$E$16=IF(Tabelle1[[#This Row],[mit Dämpfung]]=1,1,IF(Tabelle1[[#This Row],[ohne Dämpfung]]=1,2,IF(Tabelle1[[#This Row],[ohne Feder]]=1,3,0))),1,0)</f>
        <v>1</v>
      </c>
      <c r="G36" s="46">
        <f>IF(Tabelle1[[#This Row],[Links]]=select!$I$2,1,0)</f>
        <v>0</v>
      </c>
      <c r="H36" s="46">
        <f>IF(IF(Tabelle1[[#This Row],[Anschrauben]]=1,1,IF(Tabelle1[[#This Row],[Einpressen]]=1,2,IF(Tabelle1[[#This Row],[Werkzeuglos]]=1,3,0)))=select!$E$7,1,0)</f>
        <v>0</v>
      </c>
      <c r="I36" s="46">
        <f ca="1">IF(Tabelle1[[#This Row],[Winkel]]+Tabelle1[[#This Row],[Kröpfung]]+Tabelle1[[#This Row],[Däpfung]]+Tabelle1[[#This Row],[Bohrbild]]+Tabelle1[[#This Row],[Scharnierbefestigung]]=5,1,0)</f>
        <v>0</v>
      </c>
      <c r="J36" t="str">
        <f ca="1">Sprache!$A$56</f>
        <v>TIOMOS hinge TS-Impresso</v>
      </c>
      <c r="K36" t="s">
        <v>107</v>
      </c>
      <c r="L36" t="s">
        <v>73</v>
      </c>
      <c r="M36">
        <v>9.5</v>
      </c>
      <c r="N36" t="s">
        <v>13</v>
      </c>
      <c r="O36">
        <v>110</v>
      </c>
      <c r="P36">
        <v>1</v>
      </c>
      <c r="Q36">
        <v>0</v>
      </c>
      <c r="R36">
        <v>0</v>
      </c>
      <c r="S36">
        <v>0</v>
      </c>
      <c r="T36">
        <v>0</v>
      </c>
      <c r="U36">
        <v>1</v>
      </c>
      <c r="V36" s="14" t="s">
        <v>106</v>
      </c>
    </row>
    <row r="37" spans="1:22" ht="14.25" customHeight="1" x14ac:dyDescent="0.25">
      <c r="A37" s="48" t="str">
        <f>LEFT(Tabelle1[[#This Row],[Artikel'#]],4)</f>
        <v>F017</v>
      </c>
      <c r="B37" s="46" t="str">
        <f>MID(Tabelle1[[#This Row],[Artikel'#]],5,3)</f>
        <v>139</v>
      </c>
      <c r="C37" s="48" t="str">
        <f>RIGHT(Tabelle1[[#This Row],[Artikel'#]],3)</f>
        <v>416</v>
      </c>
      <c r="D37" s="46">
        <f>IF(Tabelle1[[#This Row],[Winkel2]]=select!$A$2,1,0)</f>
        <v>1</v>
      </c>
      <c r="E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7" s="46">
        <f>IF(select!$E$16=IF(Tabelle1[[#This Row],[mit Dämpfung]]=1,1,IF(Tabelle1[[#This Row],[ohne Dämpfung]]=1,2,IF(Tabelle1[[#This Row],[ohne Feder]]=1,3,0))),1,0)</f>
        <v>1</v>
      </c>
      <c r="G37" s="46">
        <f>IF(Tabelle1[[#This Row],[Links]]=select!$I$2,1,0)</f>
        <v>1</v>
      </c>
      <c r="H37" s="46">
        <f>IF(IF(Tabelle1[[#This Row],[Anschrauben]]=1,1,IF(Tabelle1[[#This Row],[Einpressen]]=1,2,IF(Tabelle1[[#This Row],[Werkzeuglos]]=1,3,0)))=select!$E$7,1,0)</f>
        <v>0</v>
      </c>
      <c r="I37" s="46">
        <f ca="1">IF(Tabelle1[[#This Row],[Winkel]]+Tabelle1[[#This Row],[Kröpfung]]+Tabelle1[[#This Row],[Däpfung]]+Tabelle1[[#This Row],[Bohrbild]]+Tabelle1[[#This Row],[Scharnierbefestigung]]=5,1,0)</f>
        <v>0</v>
      </c>
      <c r="J37" t="str">
        <f ca="1">Sprache!$A$56</f>
        <v>TIOMOS hinge TS-Impresso</v>
      </c>
      <c r="K37" t="s">
        <v>107</v>
      </c>
      <c r="L37" t="s">
        <v>73</v>
      </c>
      <c r="M37">
        <v>9.5</v>
      </c>
      <c r="N37" t="s">
        <v>3</v>
      </c>
      <c r="O37">
        <v>110</v>
      </c>
      <c r="P37">
        <v>1</v>
      </c>
      <c r="Q37">
        <v>0</v>
      </c>
      <c r="R37">
        <v>0</v>
      </c>
      <c r="S37">
        <v>0</v>
      </c>
      <c r="T37">
        <v>0</v>
      </c>
      <c r="U37">
        <v>1</v>
      </c>
      <c r="V37" s="14" t="s">
        <v>106</v>
      </c>
    </row>
    <row r="38" spans="1:22" ht="14.25" customHeight="1" x14ac:dyDescent="0.25">
      <c r="A38" s="48" t="str">
        <f>LEFT(Tabelle1[[#This Row],[Artikel'#]],4)</f>
        <v>F017</v>
      </c>
      <c r="B38" s="46" t="str">
        <f>MID(Tabelle1[[#This Row],[Artikel'#]],5,3)</f>
        <v>139</v>
      </c>
      <c r="C38" s="48" t="str">
        <f>RIGHT(Tabelle1[[#This Row],[Artikel'#]],3)</f>
        <v>417</v>
      </c>
      <c r="D38" s="46">
        <f>IF(Tabelle1[[#This Row],[Winkel2]]=select!$A$2,1,0)</f>
        <v>1</v>
      </c>
      <c r="E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" s="46">
        <f>IF(select!$E$16=IF(Tabelle1[[#This Row],[mit Dämpfung]]=1,1,IF(Tabelle1[[#This Row],[ohne Dämpfung]]=1,2,IF(Tabelle1[[#This Row],[ohne Feder]]=1,3,0))),1,0)</f>
        <v>1</v>
      </c>
      <c r="G38" s="46">
        <f>IF(Tabelle1[[#This Row],[Links]]=select!$I$2,1,0)</f>
        <v>0</v>
      </c>
      <c r="H38" s="46">
        <f>IF(IF(Tabelle1[[#This Row],[Anschrauben]]=1,1,IF(Tabelle1[[#This Row],[Einpressen]]=1,2,IF(Tabelle1[[#This Row],[Werkzeuglos]]=1,3,0)))=select!$E$7,1,0)</f>
        <v>0</v>
      </c>
      <c r="I38" s="46">
        <f ca="1">IF(Tabelle1[[#This Row],[Winkel]]+Tabelle1[[#This Row],[Kröpfung]]+Tabelle1[[#This Row],[Däpfung]]+Tabelle1[[#This Row],[Bohrbild]]+Tabelle1[[#This Row],[Scharnierbefestigung]]=5,1,0)</f>
        <v>0</v>
      </c>
      <c r="J38" t="str">
        <f ca="1">Sprache!$A$56</f>
        <v>TIOMOS hinge TS-Impresso</v>
      </c>
      <c r="K38" t="s">
        <v>109</v>
      </c>
      <c r="L38" t="s">
        <v>73</v>
      </c>
      <c r="M38">
        <v>19</v>
      </c>
      <c r="N38" t="s">
        <v>13</v>
      </c>
      <c r="O38">
        <v>110</v>
      </c>
      <c r="P38">
        <v>1</v>
      </c>
      <c r="Q38">
        <v>0</v>
      </c>
      <c r="R38">
        <v>0</v>
      </c>
      <c r="S38">
        <v>0</v>
      </c>
      <c r="T38">
        <v>0</v>
      </c>
      <c r="U38">
        <v>1</v>
      </c>
      <c r="V38" s="14" t="s">
        <v>108</v>
      </c>
    </row>
    <row r="39" spans="1:22" ht="14.25" customHeight="1" x14ac:dyDescent="0.25">
      <c r="A39" s="48" t="str">
        <f>LEFT(Tabelle1[[#This Row],[Artikel'#]],4)</f>
        <v>F017</v>
      </c>
      <c r="B39" s="46" t="str">
        <f>MID(Tabelle1[[#This Row],[Artikel'#]],5,3)</f>
        <v>139</v>
      </c>
      <c r="C39" s="48" t="str">
        <f>RIGHT(Tabelle1[[#This Row],[Artikel'#]],3)</f>
        <v>417</v>
      </c>
      <c r="D39" s="46">
        <f>IF(Tabelle1[[#This Row],[Winkel2]]=select!$A$2,1,0)</f>
        <v>1</v>
      </c>
      <c r="E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" s="46">
        <f>IF(select!$E$16=IF(Tabelle1[[#This Row],[mit Dämpfung]]=1,1,IF(Tabelle1[[#This Row],[ohne Dämpfung]]=1,2,IF(Tabelle1[[#This Row],[ohne Feder]]=1,3,0))),1,0)</f>
        <v>1</v>
      </c>
      <c r="G39" s="46">
        <f>IF(Tabelle1[[#This Row],[Links]]=select!$I$2,1,0)</f>
        <v>1</v>
      </c>
      <c r="H39" s="46">
        <f>IF(IF(Tabelle1[[#This Row],[Anschrauben]]=1,1,IF(Tabelle1[[#This Row],[Einpressen]]=1,2,IF(Tabelle1[[#This Row],[Werkzeuglos]]=1,3,0)))=select!$E$7,1,0)</f>
        <v>0</v>
      </c>
      <c r="I39" s="46">
        <f ca="1">IF(Tabelle1[[#This Row],[Winkel]]+Tabelle1[[#This Row],[Kröpfung]]+Tabelle1[[#This Row],[Däpfung]]+Tabelle1[[#This Row],[Bohrbild]]+Tabelle1[[#This Row],[Scharnierbefestigung]]=5,1,0)</f>
        <v>0</v>
      </c>
      <c r="J39" t="str">
        <f ca="1">Sprache!$A$56</f>
        <v>TIOMOS hinge TS-Impresso</v>
      </c>
      <c r="K39" t="s">
        <v>109</v>
      </c>
      <c r="L39" t="s">
        <v>73</v>
      </c>
      <c r="M39">
        <v>19</v>
      </c>
      <c r="N39" t="s">
        <v>3</v>
      </c>
      <c r="O39">
        <v>110</v>
      </c>
      <c r="P39">
        <v>1</v>
      </c>
      <c r="Q39">
        <v>0</v>
      </c>
      <c r="R39">
        <v>0</v>
      </c>
      <c r="S39">
        <v>0</v>
      </c>
      <c r="T39">
        <v>0</v>
      </c>
      <c r="U39">
        <v>1</v>
      </c>
      <c r="V39" s="14" t="s">
        <v>108</v>
      </c>
    </row>
    <row r="40" spans="1:22" ht="14.25" customHeight="1" x14ac:dyDescent="0.25">
      <c r="A40" s="48" t="str">
        <f>LEFT(Tabelle1[[#This Row],[Artikel'#]],4)</f>
        <v>F017</v>
      </c>
      <c r="B40" s="46" t="str">
        <f>MID(Tabelle1[[#This Row],[Artikel'#]],5,3)</f>
        <v>139</v>
      </c>
      <c r="C40" s="48" t="str">
        <f>RIGHT(Tabelle1[[#This Row],[Artikel'#]],3)</f>
        <v>428</v>
      </c>
      <c r="D40" s="46">
        <f>IF(Tabelle1[[#This Row],[Winkel2]]=select!$A$2,1,0)</f>
        <v>0</v>
      </c>
      <c r="E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" s="46">
        <f>IF(select!$E$16=IF(Tabelle1[[#This Row],[mit Dämpfung]]=1,1,IF(Tabelle1[[#This Row],[ohne Dämpfung]]=1,2,IF(Tabelle1[[#This Row],[ohne Feder]]=1,3,0))),1,0)</f>
        <v>1</v>
      </c>
      <c r="G40" s="46">
        <f>IF(Tabelle1[[#This Row],[Links]]=select!$I$2,1,0)</f>
        <v>0</v>
      </c>
      <c r="H40" s="46">
        <f>IF(IF(Tabelle1[[#This Row],[Anschrauben]]=1,1,IF(Tabelle1[[#This Row],[Einpressen]]=1,2,IF(Tabelle1[[#This Row],[Werkzeuglos]]=1,3,0)))=select!$E$7,1,0)</f>
        <v>0</v>
      </c>
      <c r="I40" s="46">
        <f ca="1">IF(Tabelle1[[#This Row],[Winkel]]+Tabelle1[[#This Row],[Kröpfung]]+Tabelle1[[#This Row],[Däpfung]]+Tabelle1[[#This Row],[Bohrbild]]+Tabelle1[[#This Row],[Scharnierbefestigung]]=5,1,0)</f>
        <v>0</v>
      </c>
      <c r="J40" t="str">
        <f ca="1">Sprache!$A$56</f>
        <v>TIOMOS hinge TS-Impresso</v>
      </c>
      <c r="K40" t="s">
        <v>111</v>
      </c>
      <c r="L40" t="s">
        <v>73</v>
      </c>
      <c r="M40">
        <v>0</v>
      </c>
      <c r="N40" t="s">
        <v>13</v>
      </c>
      <c r="O40">
        <v>120</v>
      </c>
      <c r="P40">
        <v>1</v>
      </c>
      <c r="Q40">
        <v>0</v>
      </c>
      <c r="R40">
        <v>0</v>
      </c>
      <c r="S40">
        <v>0</v>
      </c>
      <c r="T40">
        <v>0</v>
      </c>
      <c r="U40">
        <v>1</v>
      </c>
      <c r="V40" s="14" t="s">
        <v>110</v>
      </c>
    </row>
    <row r="41" spans="1:22" ht="14.25" customHeight="1" x14ac:dyDescent="0.25">
      <c r="A41" s="48" t="str">
        <f>LEFT(Tabelle1[[#This Row],[Artikel'#]],4)</f>
        <v>F017</v>
      </c>
      <c r="B41" s="46" t="str">
        <f>MID(Tabelle1[[#This Row],[Artikel'#]],5,3)</f>
        <v>139</v>
      </c>
      <c r="C41" s="48" t="str">
        <f>RIGHT(Tabelle1[[#This Row],[Artikel'#]],3)</f>
        <v>428</v>
      </c>
      <c r="D41" s="46">
        <f>IF(Tabelle1[[#This Row],[Winkel2]]=select!$A$2,1,0)</f>
        <v>0</v>
      </c>
      <c r="E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" s="46">
        <f>IF(select!$E$16=IF(Tabelle1[[#This Row],[mit Dämpfung]]=1,1,IF(Tabelle1[[#This Row],[ohne Dämpfung]]=1,2,IF(Tabelle1[[#This Row],[ohne Feder]]=1,3,0))),1,0)</f>
        <v>1</v>
      </c>
      <c r="G41" s="46">
        <f>IF(Tabelle1[[#This Row],[Links]]=select!$I$2,1,0)</f>
        <v>1</v>
      </c>
      <c r="H41" s="46">
        <f>IF(IF(Tabelle1[[#This Row],[Anschrauben]]=1,1,IF(Tabelle1[[#This Row],[Einpressen]]=1,2,IF(Tabelle1[[#This Row],[Werkzeuglos]]=1,3,0)))=select!$E$7,1,0)</f>
        <v>0</v>
      </c>
      <c r="I41" s="46">
        <f ca="1">IF(Tabelle1[[#This Row],[Winkel]]+Tabelle1[[#This Row],[Kröpfung]]+Tabelle1[[#This Row],[Däpfung]]+Tabelle1[[#This Row],[Bohrbild]]+Tabelle1[[#This Row],[Scharnierbefestigung]]=5,1,0)</f>
        <v>0</v>
      </c>
      <c r="J41" t="str">
        <f ca="1">Sprache!$A$56</f>
        <v>TIOMOS hinge TS-Impresso</v>
      </c>
      <c r="K41" t="s">
        <v>111</v>
      </c>
      <c r="L41" t="s">
        <v>73</v>
      </c>
      <c r="M41">
        <v>0</v>
      </c>
      <c r="N41" t="s">
        <v>3</v>
      </c>
      <c r="O41">
        <v>120</v>
      </c>
      <c r="P41">
        <v>1</v>
      </c>
      <c r="Q41">
        <v>0</v>
      </c>
      <c r="R41">
        <v>0</v>
      </c>
      <c r="S41">
        <v>0</v>
      </c>
      <c r="T41">
        <v>0</v>
      </c>
      <c r="U41">
        <v>1</v>
      </c>
      <c r="V41" s="14" t="s">
        <v>110</v>
      </c>
    </row>
    <row r="42" spans="1:22" ht="14.25" customHeight="1" x14ac:dyDescent="0.25">
      <c r="A42" s="48" t="str">
        <f>LEFT(Tabelle1[[#This Row],[Artikel'#]],4)</f>
        <v>F017</v>
      </c>
      <c r="B42" s="46" t="str">
        <f>MID(Tabelle1[[#This Row],[Artikel'#]],5,3)</f>
        <v>139</v>
      </c>
      <c r="C42" s="48" t="str">
        <f>RIGHT(Tabelle1[[#This Row],[Artikel'#]],3)</f>
        <v>429</v>
      </c>
      <c r="D42" s="46">
        <f>IF(Tabelle1[[#This Row],[Winkel2]]=select!$A$2,1,0)</f>
        <v>0</v>
      </c>
      <c r="E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" s="46">
        <f>IF(select!$E$16=IF(Tabelle1[[#This Row],[mit Dämpfung]]=1,1,IF(Tabelle1[[#This Row],[ohne Dämpfung]]=1,2,IF(Tabelle1[[#This Row],[ohne Feder]]=1,3,0))),1,0)</f>
        <v>1</v>
      </c>
      <c r="G42" s="46">
        <f>IF(Tabelle1[[#This Row],[Links]]=select!$I$2,1,0)</f>
        <v>0</v>
      </c>
      <c r="H42" s="46">
        <f>IF(IF(Tabelle1[[#This Row],[Anschrauben]]=1,1,IF(Tabelle1[[#This Row],[Einpressen]]=1,2,IF(Tabelle1[[#This Row],[Werkzeuglos]]=1,3,0)))=select!$E$7,1,0)</f>
        <v>0</v>
      </c>
      <c r="I42" s="46">
        <f ca="1">IF(Tabelle1[[#This Row],[Winkel]]+Tabelle1[[#This Row],[Kröpfung]]+Tabelle1[[#This Row],[Däpfung]]+Tabelle1[[#This Row],[Bohrbild]]+Tabelle1[[#This Row],[Scharnierbefestigung]]=5,1,0)</f>
        <v>0</v>
      </c>
      <c r="J42" t="str">
        <f ca="1">Sprache!$A$56</f>
        <v>TIOMOS hinge TS-Impresso</v>
      </c>
      <c r="K42" t="s">
        <v>113</v>
      </c>
      <c r="L42" t="s">
        <v>73</v>
      </c>
      <c r="M42">
        <v>3</v>
      </c>
      <c r="N42" t="s">
        <v>13</v>
      </c>
      <c r="O42">
        <v>120</v>
      </c>
      <c r="P42">
        <v>1</v>
      </c>
      <c r="Q42">
        <v>0</v>
      </c>
      <c r="R42">
        <v>0</v>
      </c>
      <c r="S42">
        <v>0</v>
      </c>
      <c r="T42">
        <v>0</v>
      </c>
      <c r="U42">
        <v>1</v>
      </c>
      <c r="V42" s="14" t="s">
        <v>112</v>
      </c>
    </row>
    <row r="43" spans="1:22" ht="14.25" customHeight="1" x14ac:dyDescent="0.25">
      <c r="A43" s="48" t="str">
        <f>LEFT(Tabelle1[[#This Row],[Artikel'#]],4)</f>
        <v>F017</v>
      </c>
      <c r="B43" s="46" t="str">
        <f>MID(Tabelle1[[#This Row],[Artikel'#]],5,3)</f>
        <v>139</v>
      </c>
      <c r="C43" s="48" t="str">
        <f>RIGHT(Tabelle1[[#This Row],[Artikel'#]],3)</f>
        <v>429</v>
      </c>
      <c r="D43" s="46">
        <f>IF(Tabelle1[[#This Row],[Winkel2]]=select!$A$2,1,0)</f>
        <v>0</v>
      </c>
      <c r="E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" s="46">
        <f>IF(select!$E$16=IF(Tabelle1[[#This Row],[mit Dämpfung]]=1,1,IF(Tabelle1[[#This Row],[ohne Dämpfung]]=1,2,IF(Tabelle1[[#This Row],[ohne Feder]]=1,3,0))),1,0)</f>
        <v>1</v>
      </c>
      <c r="G43" s="46">
        <f>IF(Tabelle1[[#This Row],[Links]]=select!$I$2,1,0)</f>
        <v>1</v>
      </c>
      <c r="H43" s="46">
        <f>IF(IF(Tabelle1[[#This Row],[Anschrauben]]=1,1,IF(Tabelle1[[#This Row],[Einpressen]]=1,2,IF(Tabelle1[[#This Row],[Werkzeuglos]]=1,3,0)))=select!$E$7,1,0)</f>
        <v>0</v>
      </c>
      <c r="I43" s="46">
        <f ca="1">IF(Tabelle1[[#This Row],[Winkel]]+Tabelle1[[#This Row],[Kröpfung]]+Tabelle1[[#This Row],[Däpfung]]+Tabelle1[[#This Row],[Bohrbild]]+Tabelle1[[#This Row],[Scharnierbefestigung]]=5,1,0)</f>
        <v>0</v>
      </c>
      <c r="J43" t="str">
        <f ca="1">Sprache!$A$56</f>
        <v>TIOMOS hinge TS-Impresso</v>
      </c>
      <c r="K43" t="s">
        <v>113</v>
      </c>
      <c r="L43" t="s">
        <v>73</v>
      </c>
      <c r="M43">
        <v>3</v>
      </c>
      <c r="N43" t="s">
        <v>3</v>
      </c>
      <c r="O43">
        <v>120</v>
      </c>
      <c r="P43">
        <v>1</v>
      </c>
      <c r="Q43">
        <v>0</v>
      </c>
      <c r="R43">
        <v>0</v>
      </c>
      <c r="S43">
        <v>0</v>
      </c>
      <c r="T43">
        <v>0</v>
      </c>
      <c r="U43">
        <v>1</v>
      </c>
      <c r="V43" s="14" t="s">
        <v>112</v>
      </c>
    </row>
    <row r="44" spans="1:22" ht="14.25" customHeight="1" x14ac:dyDescent="0.25">
      <c r="A44" s="48" t="str">
        <f>LEFT(Tabelle1[[#This Row],[Artikel'#]],4)</f>
        <v>F017</v>
      </c>
      <c r="B44" s="46" t="str">
        <f>MID(Tabelle1[[#This Row],[Artikel'#]],5,3)</f>
        <v>139</v>
      </c>
      <c r="C44" s="48" t="str">
        <f>RIGHT(Tabelle1[[#This Row],[Artikel'#]],3)</f>
        <v>430</v>
      </c>
      <c r="D44" s="46">
        <f>IF(Tabelle1[[#This Row],[Winkel2]]=select!$A$2,1,0)</f>
        <v>0</v>
      </c>
      <c r="E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4" s="46">
        <f>IF(select!$E$16=IF(Tabelle1[[#This Row],[mit Dämpfung]]=1,1,IF(Tabelle1[[#This Row],[ohne Dämpfung]]=1,2,IF(Tabelle1[[#This Row],[ohne Feder]]=1,3,0))),1,0)</f>
        <v>1</v>
      </c>
      <c r="G44" s="46">
        <f>IF(Tabelle1[[#This Row],[Links]]=select!$I$2,1,0)</f>
        <v>0</v>
      </c>
      <c r="H44" s="46">
        <f>IF(IF(Tabelle1[[#This Row],[Anschrauben]]=1,1,IF(Tabelle1[[#This Row],[Einpressen]]=1,2,IF(Tabelle1[[#This Row],[Werkzeuglos]]=1,3,0)))=select!$E$7,1,0)</f>
        <v>0</v>
      </c>
      <c r="I44" s="46">
        <f ca="1">IF(Tabelle1[[#This Row],[Winkel]]+Tabelle1[[#This Row],[Kröpfung]]+Tabelle1[[#This Row],[Däpfung]]+Tabelle1[[#This Row],[Bohrbild]]+Tabelle1[[#This Row],[Scharnierbefestigung]]=5,1,0)</f>
        <v>0</v>
      </c>
      <c r="J44" t="str">
        <f ca="1">Sprache!$A$56</f>
        <v>TIOMOS hinge TS-Impresso</v>
      </c>
      <c r="K44" t="s">
        <v>115</v>
      </c>
      <c r="L44" t="s">
        <v>73</v>
      </c>
      <c r="M44">
        <v>9.5</v>
      </c>
      <c r="N44" t="s">
        <v>13</v>
      </c>
      <c r="O44">
        <v>120</v>
      </c>
      <c r="P44">
        <v>1</v>
      </c>
      <c r="Q44">
        <v>0</v>
      </c>
      <c r="R44">
        <v>0</v>
      </c>
      <c r="S44">
        <v>0</v>
      </c>
      <c r="T44">
        <v>0</v>
      </c>
      <c r="U44">
        <v>1</v>
      </c>
      <c r="V44" s="14" t="s">
        <v>114</v>
      </c>
    </row>
    <row r="45" spans="1:22" ht="14.25" customHeight="1" x14ac:dyDescent="0.25">
      <c r="A45" s="48" t="str">
        <f>LEFT(Tabelle1[[#This Row],[Artikel'#]],4)</f>
        <v>F017</v>
      </c>
      <c r="B45" s="46" t="str">
        <f>MID(Tabelle1[[#This Row],[Artikel'#]],5,3)</f>
        <v>139</v>
      </c>
      <c r="C45" s="48" t="str">
        <f>RIGHT(Tabelle1[[#This Row],[Artikel'#]],3)</f>
        <v>430</v>
      </c>
      <c r="D45" s="46">
        <f>IF(Tabelle1[[#This Row],[Winkel2]]=select!$A$2,1,0)</f>
        <v>0</v>
      </c>
      <c r="E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5" s="46">
        <f>IF(select!$E$16=IF(Tabelle1[[#This Row],[mit Dämpfung]]=1,1,IF(Tabelle1[[#This Row],[ohne Dämpfung]]=1,2,IF(Tabelle1[[#This Row],[ohne Feder]]=1,3,0))),1,0)</f>
        <v>1</v>
      </c>
      <c r="G45" s="46">
        <f>IF(Tabelle1[[#This Row],[Links]]=select!$I$2,1,0)</f>
        <v>1</v>
      </c>
      <c r="H45" s="46">
        <f>IF(IF(Tabelle1[[#This Row],[Anschrauben]]=1,1,IF(Tabelle1[[#This Row],[Einpressen]]=1,2,IF(Tabelle1[[#This Row],[Werkzeuglos]]=1,3,0)))=select!$E$7,1,0)</f>
        <v>0</v>
      </c>
      <c r="I45" s="46">
        <f ca="1">IF(Tabelle1[[#This Row],[Winkel]]+Tabelle1[[#This Row],[Kröpfung]]+Tabelle1[[#This Row],[Däpfung]]+Tabelle1[[#This Row],[Bohrbild]]+Tabelle1[[#This Row],[Scharnierbefestigung]]=5,1,0)</f>
        <v>0</v>
      </c>
      <c r="J45" t="str">
        <f ca="1">Sprache!$A$56</f>
        <v>TIOMOS hinge TS-Impresso</v>
      </c>
      <c r="K45" t="s">
        <v>115</v>
      </c>
      <c r="L45" t="s">
        <v>73</v>
      </c>
      <c r="M45">
        <v>9.5</v>
      </c>
      <c r="N45" t="s">
        <v>3</v>
      </c>
      <c r="O45">
        <v>120</v>
      </c>
      <c r="P45">
        <v>1</v>
      </c>
      <c r="Q45">
        <v>0</v>
      </c>
      <c r="R45">
        <v>0</v>
      </c>
      <c r="S45">
        <v>0</v>
      </c>
      <c r="T45">
        <v>0</v>
      </c>
      <c r="U45">
        <v>1</v>
      </c>
      <c r="V45" s="14" t="s">
        <v>114</v>
      </c>
    </row>
    <row r="46" spans="1:22" ht="14.25" customHeight="1" x14ac:dyDescent="0.25">
      <c r="A46" s="48" t="str">
        <f>LEFT(Tabelle1[[#This Row],[Artikel'#]],4)</f>
        <v>F017</v>
      </c>
      <c r="B46" s="46" t="str">
        <f>MID(Tabelle1[[#This Row],[Artikel'#]],5,3)</f>
        <v>139</v>
      </c>
      <c r="C46" s="48" t="str">
        <f>RIGHT(Tabelle1[[#This Row],[Artikel'#]],3)</f>
        <v>435</v>
      </c>
      <c r="D46" s="46">
        <f>IF(Tabelle1[[#This Row],[Winkel2]]=select!$A$2,1,0)</f>
        <v>0</v>
      </c>
      <c r="E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" s="46">
        <f>IF(select!$E$16=IF(Tabelle1[[#This Row],[mit Dämpfung]]=1,1,IF(Tabelle1[[#This Row],[ohne Dämpfung]]=1,2,IF(Tabelle1[[#This Row],[ohne Feder]]=1,3,0))),1,0)</f>
        <v>1</v>
      </c>
      <c r="G46" s="46">
        <f>IF(Tabelle1[[#This Row],[Links]]=select!$I$2,1,0)</f>
        <v>0</v>
      </c>
      <c r="H46" s="46">
        <f>IF(IF(Tabelle1[[#This Row],[Anschrauben]]=1,1,IF(Tabelle1[[#This Row],[Einpressen]]=1,2,IF(Tabelle1[[#This Row],[Werkzeuglos]]=1,3,0)))=select!$E$7,1,0)</f>
        <v>0</v>
      </c>
      <c r="I46" s="46">
        <f ca="1">IF(Tabelle1[[#This Row],[Winkel]]+Tabelle1[[#This Row],[Kröpfung]]+Tabelle1[[#This Row],[Däpfung]]+Tabelle1[[#This Row],[Bohrbild]]+Tabelle1[[#This Row],[Scharnierbefestigung]]=5,1,0)</f>
        <v>0</v>
      </c>
      <c r="J46" t="str">
        <f ca="1">Sprache!$A$56</f>
        <v>TIOMOS hinge TS-Impresso</v>
      </c>
      <c r="K46" t="s">
        <v>117</v>
      </c>
      <c r="L46" t="s">
        <v>73</v>
      </c>
      <c r="M46">
        <v>0</v>
      </c>
      <c r="N46" s="13" t="s">
        <v>13</v>
      </c>
      <c r="O46">
        <v>160</v>
      </c>
      <c r="P46">
        <v>1</v>
      </c>
      <c r="Q46">
        <v>0</v>
      </c>
      <c r="R46">
        <v>0</v>
      </c>
      <c r="S46">
        <v>0</v>
      </c>
      <c r="T46">
        <v>0</v>
      </c>
      <c r="U46">
        <v>1</v>
      </c>
      <c r="V46" s="14" t="s">
        <v>116</v>
      </c>
    </row>
    <row r="47" spans="1:22" ht="14.25" customHeight="1" x14ac:dyDescent="0.25">
      <c r="A47" s="48" t="str">
        <f>LEFT(Tabelle1[[#This Row],[Artikel'#]],4)</f>
        <v>F017</v>
      </c>
      <c r="B47" s="46" t="str">
        <f>MID(Tabelle1[[#This Row],[Artikel'#]],5,3)</f>
        <v>139</v>
      </c>
      <c r="C47" s="48" t="str">
        <f>RIGHT(Tabelle1[[#This Row],[Artikel'#]],3)</f>
        <v>435</v>
      </c>
      <c r="D47" s="46">
        <f>IF(Tabelle1[[#This Row],[Winkel2]]=select!$A$2,1,0)</f>
        <v>0</v>
      </c>
      <c r="E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" s="46">
        <f>IF(select!$E$16=IF(Tabelle1[[#This Row],[mit Dämpfung]]=1,1,IF(Tabelle1[[#This Row],[ohne Dämpfung]]=1,2,IF(Tabelle1[[#This Row],[ohne Feder]]=1,3,0))),1,0)</f>
        <v>1</v>
      </c>
      <c r="G47" s="46">
        <f>IF(Tabelle1[[#This Row],[Links]]=select!$I$2,1,0)</f>
        <v>1</v>
      </c>
      <c r="H47" s="46">
        <f>IF(IF(Tabelle1[[#This Row],[Anschrauben]]=1,1,IF(Tabelle1[[#This Row],[Einpressen]]=1,2,IF(Tabelle1[[#This Row],[Werkzeuglos]]=1,3,0)))=select!$E$7,1,0)</f>
        <v>0</v>
      </c>
      <c r="I47" s="46">
        <f ca="1">IF(Tabelle1[[#This Row],[Winkel]]+Tabelle1[[#This Row],[Kröpfung]]+Tabelle1[[#This Row],[Däpfung]]+Tabelle1[[#This Row],[Bohrbild]]+Tabelle1[[#This Row],[Scharnierbefestigung]]=5,1,0)</f>
        <v>0</v>
      </c>
      <c r="J47" t="str">
        <f ca="1">Sprache!$A$56</f>
        <v>TIOMOS hinge TS-Impresso</v>
      </c>
      <c r="K47" t="s">
        <v>117</v>
      </c>
      <c r="L47" t="s">
        <v>73</v>
      </c>
      <c r="M47">
        <v>0</v>
      </c>
      <c r="N47" s="13" t="s">
        <v>3</v>
      </c>
      <c r="O47">
        <v>160</v>
      </c>
      <c r="P47">
        <v>1</v>
      </c>
      <c r="Q47">
        <v>0</v>
      </c>
      <c r="R47">
        <v>0</v>
      </c>
      <c r="S47">
        <v>0</v>
      </c>
      <c r="T47">
        <v>0</v>
      </c>
      <c r="U47">
        <v>1</v>
      </c>
      <c r="V47" s="14" t="s">
        <v>116</v>
      </c>
    </row>
    <row r="48" spans="1:22" ht="14.25" customHeight="1" x14ac:dyDescent="0.25">
      <c r="A48" s="48" t="str">
        <f>LEFT(Tabelle1[[#This Row],[Artikel'#]],4)</f>
        <v>F017</v>
      </c>
      <c r="B48" s="46" t="str">
        <f>MID(Tabelle1[[#This Row],[Artikel'#]],5,3)</f>
        <v>139</v>
      </c>
      <c r="C48" s="48" t="str">
        <f>RIGHT(Tabelle1[[#This Row],[Artikel'#]],3)</f>
        <v>436</v>
      </c>
      <c r="D48" s="46">
        <f>IF(Tabelle1[[#This Row],[Winkel2]]=select!$A$2,1,0)</f>
        <v>0</v>
      </c>
      <c r="E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" s="46">
        <f>IF(select!$E$16=IF(Tabelle1[[#This Row],[mit Dämpfung]]=1,1,IF(Tabelle1[[#This Row],[ohne Dämpfung]]=1,2,IF(Tabelle1[[#This Row],[ohne Feder]]=1,3,0))),1,0)</f>
        <v>1</v>
      </c>
      <c r="G48" s="46">
        <f>IF(Tabelle1[[#This Row],[Links]]=select!$I$2,1,0)</f>
        <v>0</v>
      </c>
      <c r="H48" s="46">
        <f>IF(IF(Tabelle1[[#This Row],[Anschrauben]]=1,1,IF(Tabelle1[[#This Row],[Einpressen]]=1,2,IF(Tabelle1[[#This Row],[Werkzeuglos]]=1,3,0)))=select!$E$7,1,0)</f>
        <v>0</v>
      </c>
      <c r="I48" s="46">
        <f ca="1">IF(Tabelle1[[#This Row],[Winkel]]+Tabelle1[[#This Row],[Kröpfung]]+Tabelle1[[#This Row],[Däpfung]]+Tabelle1[[#This Row],[Bohrbild]]+Tabelle1[[#This Row],[Scharnierbefestigung]]=5,1,0)</f>
        <v>0</v>
      </c>
      <c r="J48" t="str">
        <f ca="1">Sprache!$A$56</f>
        <v>TIOMOS hinge TS-Impresso</v>
      </c>
      <c r="K48" t="s">
        <v>119</v>
      </c>
      <c r="L48" t="s">
        <v>73</v>
      </c>
      <c r="M48">
        <v>3</v>
      </c>
      <c r="N48" t="s">
        <v>13</v>
      </c>
      <c r="O48">
        <v>160</v>
      </c>
      <c r="P48">
        <v>1</v>
      </c>
      <c r="Q48">
        <v>0</v>
      </c>
      <c r="R48">
        <v>0</v>
      </c>
      <c r="S48">
        <v>0</v>
      </c>
      <c r="T48">
        <v>0</v>
      </c>
      <c r="U48">
        <v>1</v>
      </c>
      <c r="V48" s="14" t="s">
        <v>118</v>
      </c>
    </row>
    <row r="49" spans="1:22" ht="14.25" customHeight="1" x14ac:dyDescent="0.25">
      <c r="A49" s="48" t="str">
        <f>LEFT(Tabelle1[[#This Row],[Artikel'#]],4)</f>
        <v>F017</v>
      </c>
      <c r="B49" s="46" t="str">
        <f>MID(Tabelle1[[#This Row],[Artikel'#]],5,3)</f>
        <v>139</v>
      </c>
      <c r="C49" s="48" t="str">
        <f>RIGHT(Tabelle1[[#This Row],[Artikel'#]],3)</f>
        <v>436</v>
      </c>
      <c r="D49" s="46">
        <f>IF(Tabelle1[[#This Row],[Winkel2]]=select!$A$2,1,0)</f>
        <v>0</v>
      </c>
      <c r="E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" s="46">
        <f>IF(select!$E$16=IF(Tabelle1[[#This Row],[mit Dämpfung]]=1,1,IF(Tabelle1[[#This Row],[ohne Dämpfung]]=1,2,IF(Tabelle1[[#This Row],[ohne Feder]]=1,3,0))),1,0)</f>
        <v>1</v>
      </c>
      <c r="G49" s="46">
        <f>IF(Tabelle1[[#This Row],[Links]]=select!$I$2,1,0)</f>
        <v>1</v>
      </c>
      <c r="H49" s="46">
        <f>IF(IF(Tabelle1[[#This Row],[Anschrauben]]=1,1,IF(Tabelle1[[#This Row],[Einpressen]]=1,2,IF(Tabelle1[[#This Row],[Werkzeuglos]]=1,3,0)))=select!$E$7,1,0)</f>
        <v>0</v>
      </c>
      <c r="I49" s="46">
        <f ca="1">IF(Tabelle1[[#This Row],[Winkel]]+Tabelle1[[#This Row],[Kröpfung]]+Tabelle1[[#This Row],[Däpfung]]+Tabelle1[[#This Row],[Bohrbild]]+Tabelle1[[#This Row],[Scharnierbefestigung]]=5,1,0)</f>
        <v>0</v>
      </c>
      <c r="J49" t="str">
        <f ca="1">Sprache!$A$56</f>
        <v>TIOMOS hinge TS-Impresso</v>
      </c>
      <c r="K49" t="s">
        <v>119</v>
      </c>
      <c r="L49" t="s">
        <v>73</v>
      </c>
      <c r="M49">
        <v>3</v>
      </c>
      <c r="N49" t="s">
        <v>3</v>
      </c>
      <c r="O49">
        <v>160</v>
      </c>
      <c r="P49">
        <v>1</v>
      </c>
      <c r="Q49">
        <v>0</v>
      </c>
      <c r="R49">
        <v>0</v>
      </c>
      <c r="S49">
        <v>0</v>
      </c>
      <c r="T49">
        <v>0</v>
      </c>
      <c r="U49">
        <v>1</v>
      </c>
      <c r="V49" s="14" t="s">
        <v>118</v>
      </c>
    </row>
    <row r="50" spans="1:22" ht="14.25" customHeight="1" x14ac:dyDescent="0.25">
      <c r="A50" s="48" t="str">
        <f>LEFT(Tabelle1[[#This Row],[Artikel'#]],4)</f>
        <v>F017</v>
      </c>
      <c r="B50" s="46" t="str">
        <f>MID(Tabelle1[[#This Row],[Artikel'#]],5,3)</f>
        <v>139</v>
      </c>
      <c r="C50" s="48" t="str">
        <f>RIGHT(Tabelle1[[#This Row],[Artikel'#]],3)</f>
        <v>437</v>
      </c>
      <c r="D50" s="46">
        <f>IF(Tabelle1[[#This Row],[Winkel2]]=select!$A$2,1,0)</f>
        <v>0</v>
      </c>
      <c r="E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0" s="46">
        <f>IF(select!$E$16=IF(Tabelle1[[#This Row],[mit Dämpfung]]=1,1,IF(Tabelle1[[#This Row],[ohne Dämpfung]]=1,2,IF(Tabelle1[[#This Row],[ohne Feder]]=1,3,0))),1,0)</f>
        <v>1</v>
      </c>
      <c r="G50" s="46">
        <f>IF(Tabelle1[[#This Row],[Links]]=select!$I$2,1,0)</f>
        <v>0</v>
      </c>
      <c r="H50" s="46">
        <f>IF(IF(Tabelle1[[#This Row],[Anschrauben]]=1,1,IF(Tabelle1[[#This Row],[Einpressen]]=1,2,IF(Tabelle1[[#This Row],[Werkzeuglos]]=1,3,0)))=select!$E$7,1,0)</f>
        <v>0</v>
      </c>
      <c r="I50" s="46">
        <f ca="1">IF(Tabelle1[[#This Row],[Winkel]]+Tabelle1[[#This Row],[Kröpfung]]+Tabelle1[[#This Row],[Däpfung]]+Tabelle1[[#This Row],[Bohrbild]]+Tabelle1[[#This Row],[Scharnierbefestigung]]=5,1,0)</f>
        <v>0</v>
      </c>
      <c r="J50" t="str">
        <f ca="1">Sprache!$A$56</f>
        <v>TIOMOS hinge TS-Impresso</v>
      </c>
      <c r="K50" t="s">
        <v>121</v>
      </c>
      <c r="L50" t="s">
        <v>73</v>
      </c>
      <c r="M50">
        <v>9.5</v>
      </c>
      <c r="N50" t="s">
        <v>13</v>
      </c>
      <c r="O50">
        <v>160</v>
      </c>
      <c r="P50">
        <v>1</v>
      </c>
      <c r="Q50">
        <v>0</v>
      </c>
      <c r="R50">
        <v>0</v>
      </c>
      <c r="S50">
        <v>0</v>
      </c>
      <c r="T50">
        <v>0</v>
      </c>
      <c r="U50">
        <v>1</v>
      </c>
      <c r="V50" s="14" t="s">
        <v>120</v>
      </c>
    </row>
    <row r="51" spans="1:22" ht="14.25" customHeight="1" x14ac:dyDescent="0.25">
      <c r="A51" s="48" t="str">
        <f>LEFT(Tabelle1[[#This Row],[Artikel'#]],4)</f>
        <v>F017</v>
      </c>
      <c r="B51" s="46" t="str">
        <f>MID(Tabelle1[[#This Row],[Artikel'#]],5,3)</f>
        <v>139</v>
      </c>
      <c r="C51" s="48" t="str">
        <f>RIGHT(Tabelle1[[#This Row],[Artikel'#]],3)</f>
        <v>437</v>
      </c>
      <c r="D51" s="46">
        <f>IF(Tabelle1[[#This Row],[Winkel2]]=select!$A$2,1,0)</f>
        <v>0</v>
      </c>
      <c r="E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1" s="46">
        <f>IF(select!$E$16=IF(Tabelle1[[#This Row],[mit Dämpfung]]=1,1,IF(Tabelle1[[#This Row],[ohne Dämpfung]]=1,2,IF(Tabelle1[[#This Row],[ohne Feder]]=1,3,0))),1,0)</f>
        <v>1</v>
      </c>
      <c r="G51" s="46">
        <f>IF(Tabelle1[[#This Row],[Links]]=select!$I$2,1,0)</f>
        <v>1</v>
      </c>
      <c r="H51" s="46">
        <f>IF(IF(Tabelle1[[#This Row],[Anschrauben]]=1,1,IF(Tabelle1[[#This Row],[Einpressen]]=1,2,IF(Tabelle1[[#This Row],[Werkzeuglos]]=1,3,0)))=select!$E$7,1,0)</f>
        <v>0</v>
      </c>
      <c r="I51" s="46">
        <f ca="1">IF(Tabelle1[[#This Row],[Winkel]]+Tabelle1[[#This Row],[Kröpfung]]+Tabelle1[[#This Row],[Däpfung]]+Tabelle1[[#This Row],[Bohrbild]]+Tabelle1[[#This Row],[Scharnierbefestigung]]=5,1,0)</f>
        <v>0</v>
      </c>
      <c r="J51" t="str">
        <f ca="1">Sprache!$A$56</f>
        <v>TIOMOS hinge TS-Impresso</v>
      </c>
      <c r="K51" t="s">
        <v>121</v>
      </c>
      <c r="L51" t="s">
        <v>73</v>
      </c>
      <c r="M51">
        <v>9.5</v>
      </c>
      <c r="N51" t="s">
        <v>3</v>
      </c>
      <c r="O51">
        <v>160</v>
      </c>
      <c r="P51">
        <v>1</v>
      </c>
      <c r="Q51">
        <v>0</v>
      </c>
      <c r="R51">
        <v>0</v>
      </c>
      <c r="S51">
        <v>0</v>
      </c>
      <c r="T51">
        <v>0</v>
      </c>
      <c r="U51">
        <v>1</v>
      </c>
      <c r="V51" s="14" t="s">
        <v>120</v>
      </c>
    </row>
    <row r="52" spans="1:22" ht="14.25" customHeight="1" x14ac:dyDescent="0.25">
      <c r="A52" s="48" t="str">
        <f>LEFT(Tabelle1[[#This Row],[Artikel'#]],4)</f>
        <v>F017</v>
      </c>
      <c r="B52" s="46" t="str">
        <f>MID(Tabelle1[[#This Row],[Artikel'#]],5,3)</f>
        <v>139</v>
      </c>
      <c r="C52" s="48" t="str">
        <f>RIGHT(Tabelle1[[#This Row],[Artikel'#]],3)</f>
        <v>438</v>
      </c>
      <c r="D52" s="46">
        <f>IF(Tabelle1[[#This Row],[Winkel2]]=select!$A$2,1,0)</f>
        <v>0</v>
      </c>
      <c r="E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" s="46">
        <f>IF(select!$E$16=IF(Tabelle1[[#This Row],[mit Dämpfung]]=1,1,IF(Tabelle1[[#This Row],[ohne Dämpfung]]=1,2,IF(Tabelle1[[#This Row],[ohne Feder]]=1,3,0))),1,0)</f>
        <v>1</v>
      </c>
      <c r="G52" s="46">
        <f>IF(Tabelle1[[#This Row],[Links]]=select!$I$2,1,0)</f>
        <v>0</v>
      </c>
      <c r="H52" s="46">
        <f>IF(IF(Tabelle1[[#This Row],[Anschrauben]]=1,1,IF(Tabelle1[[#This Row],[Einpressen]]=1,2,IF(Tabelle1[[#This Row],[Werkzeuglos]]=1,3,0)))=select!$E$7,1,0)</f>
        <v>0</v>
      </c>
      <c r="I52" s="46">
        <f ca="1">IF(Tabelle1[[#This Row],[Winkel]]+Tabelle1[[#This Row],[Kröpfung]]+Tabelle1[[#This Row],[Däpfung]]+Tabelle1[[#This Row],[Bohrbild]]+Tabelle1[[#This Row],[Scharnierbefestigung]]=5,1,0)</f>
        <v>0</v>
      </c>
      <c r="J52" t="str">
        <f ca="1">Sprache!$A$56</f>
        <v>TIOMOS hinge TS-Impresso</v>
      </c>
      <c r="K52" t="s">
        <v>123</v>
      </c>
      <c r="L52" t="s">
        <v>73</v>
      </c>
      <c r="M52">
        <v>0</v>
      </c>
      <c r="N52" t="s">
        <v>13</v>
      </c>
      <c r="O52">
        <v>95</v>
      </c>
      <c r="P52">
        <v>1</v>
      </c>
      <c r="Q52">
        <v>0</v>
      </c>
      <c r="R52">
        <v>0</v>
      </c>
      <c r="S52">
        <v>0</v>
      </c>
      <c r="T52">
        <v>0</v>
      </c>
      <c r="U52">
        <v>1</v>
      </c>
      <c r="V52" s="14" t="s">
        <v>122</v>
      </c>
    </row>
    <row r="53" spans="1:22" ht="14.25" customHeight="1" x14ac:dyDescent="0.25">
      <c r="A53" s="48" t="str">
        <f>LEFT(Tabelle1[[#This Row],[Artikel'#]],4)</f>
        <v>F017</v>
      </c>
      <c r="B53" s="46" t="str">
        <f>MID(Tabelle1[[#This Row],[Artikel'#]],5,3)</f>
        <v>139</v>
      </c>
      <c r="C53" s="48" t="str">
        <f>RIGHT(Tabelle1[[#This Row],[Artikel'#]],3)</f>
        <v>438</v>
      </c>
      <c r="D53" s="46">
        <f>IF(Tabelle1[[#This Row],[Winkel2]]=select!$A$2,1,0)</f>
        <v>0</v>
      </c>
      <c r="E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" s="46">
        <f>IF(select!$E$16=IF(Tabelle1[[#This Row],[mit Dämpfung]]=1,1,IF(Tabelle1[[#This Row],[ohne Dämpfung]]=1,2,IF(Tabelle1[[#This Row],[ohne Feder]]=1,3,0))),1,0)</f>
        <v>1</v>
      </c>
      <c r="G53" s="46">
        <f>IF(Tabelle1[[#This Row],[Links]]=select!$I$2,1,0)</f>
        <v>1</v>
      </c>
      <c r="H53" s="46">
        <f>IF(IF(Tabelle1[[#This Row],[Anschrauben]]=1,1,IF(Tabelle1[[#This Row],[Einpressen]]=1,2,IF(Tabelle1[[#This Row],[Werkzeuglos]]=1,3,0)))=select!$E$7,1,0)</f>
        <v>0</v>
      </c>
      <c r="I53" s="46">
        <f ca="1">IF(Tabelle1[[#This Row],[Winkel]]+Tabelle1[[#This Row],[Kröpfung]]+Tabelle1[[#This Row],[Däpfung]]+Tabelle1[[#This Row],[Bohrbild]]+Tabelle1[[#This Row],[Scharnierbefestigung]]=5,1,0)</f>
        <v>0</v>
      </c>
      <c r="J53" t="str">
        <f ca="1">Sprache!$A$56</f>
        <v>TIOMOS hinge TS-Impresso</v>
      </c>
      <c r="K53" t="s">
        <v>123</v>
      </c>
      <c r="L53" t="s">
        <v>73</v>
      </c>
      <c r="M53">
        <v>0</v>
      </c>
      <c r="N53" t="s">
        <v>3</v>
      </c>
      <c r="O53">
        <v>95</v>
      </c>
      <c r="P53">
        <v>1</v>
      </c>
      <c r="Q53">
        <v>0</v>
      </c>
      <c r="R53">
        <v>0</v>
      </c>
      <c r="S53">
        <v>0</v>
      </c>
      <c r="T53">
        <v>0</v>
      </c>
      <c r="U53">
        <v>1</v>
      </c>
      <c r="V53" s="14" t="s">
        <v>122</v>
      </c>
    </row>
    <row r="54" spans="1:22" ht="14.25" customHeight="1" x14ac:dyDescent="0.25">
      <c r="A54" s="48" t="str">
        <f>LEFT(Tabelle1[[#This Row],[Artikel'#]],4)</f>
        <v>F017</v>
      </c>
      <c r="B54" s="46" t="str">
        <f>MID(Tabelle1[[#This Row],[Artikel'#]],5,3)</f>
        <v>139</v>
      </c>
      <c r="C54" s="48" t="str">
        <f>RIGHT(Tabelle1[[#This Row],[Artikel'#]],3)</f>
        <v>439</v>
      </c>
      <c r="D54" s="46">
        <f>IF(Tabelle1[[#This Row],[Winkel2]]=select!$A$2,1,0)</f>
        <v>0</v>
      </c>
      <c r="E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" s="46">
        <f>IF(select!$E$16=IF(Tabelle1[[#This Row],[mit Dämpfung]]=1,1,IF(Tabelle1[[#This Row],[ohne Dämpfung]]=1,2,IF(Tabelle1[[#This Row],[ohne Feder]]=1,3,0))),1,0)</f>
        <v>1</v>
      </c>
      <c r="G54" s="46">
        <f>IF(Tabelle1[[#This Row],[Links]]=select!$I$2,1,0)</f>
        <v>0</v>
      </c>
      <c r="H54" s="46">
        <f>IF(IF(Tabelle1[[#This Row],[Anschrauben]]=1,1,IF(Tabelle1[[#This Row],[Einpressen]]=1,2,IF(Tabelle1[[#This Row],[Werkzeuglos]]=1,3,0)))=select!$E$7,1,0)</f>
        <v>0</v>
      </c>
      <c r="I54" s="46">
        <f ca="1">IF(Tabelle1[[#This Row],[Winkel]]+Tabelle1[[#This Row],[Kröpfung]]+Tabelle1[[#This Row],[Däpfung]]+Tabelle1[[#This Row],[Bohrbild]]+Tabelle1[[#This Row],[Scharnierbefestigung]]=5,1,0)</f>
        <v>0</v>
      </c>
      <c r="J54" t="str">
        <f ca="1">Sprache!$A$56</f>
        <v>TIOMOS hinge TS-Impresso</v>
      </c>
      <c r="K54" t="s">
        <v>125</v>
      </c>
      <c r="L54" t="s">
        <v>73</v>
      </c>
      <c r="M54">
        <v>3</v>
      </c>
      <c r="N54" t="s">
        <v>13</v>
      </c>
      <c r="O54">
        <v>95</v>
      </c>
      <c r="P54">
        <v>1</v>
      </c>
      <c r="Q54">
        <v>0</v>
      </c>
      <c r="R54">
        <v>0</v>
      </c>
      <c r="S54">
        <v>0</v>
      </c>
      <c r="T54">
        <v>0</v>
      </c>
      <c r="U54">
        <v>1</v>
      </c>
      <c r="V54" s="14" t="s">
        <v>124</v>
      </c>
    </row>
    <row r="55" spans="1:22" ht="14.25" customHeight="1" x14ac:dyDescent="0.25">
      <c r="A55" s="48" t="str">
        <f>LEFT(Tabelle1[[#This Row],[Artikel'#]],4)</f>
        <v>F017</v>
      </c>
      <c r="B55" s="46" t="str">
        <f>MID(Tabelle1[[#This Row],[Artikel'#]],5,3)</f>
        <v>139</v>
      </c>
      <c r="C55" s="48" t="str">
        <f>RIGHT(Tabelle1[[#This Row],[Artikel'#]],3)</f>
        <v>439</v>
      </c>
      <c r="D55" s="46">
        <f>IF(Tabelle1[[#This Row],[Winkel2]]=select!$A$2,1,0)</f>
        <v>0</v>
      </c>
      <c r="E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" s="46">
        <f>IF(select!$E$16=IF(Tabelle1[[#This Row],[mit Dämpfung]]=1,1,IF(Tabelle1[[#This Row],[ohne Dämpfung]]=1,2,IF(Tabelle1[[#This Row],[ohne Feder]]=1,3,0))),1,0)</f>
        <v>1</v>
      </c>
      <c r="G55" s="46">
        <f>IF(Tabelle1[[#This Row],[Links]]=select!$I$2,1,0)</f>
        <v>1</v>
      </c>
      <c r="H55" s="46">
        <f>IF(IF(Tabelle1[[#This Row],[Anschrauben]]=1,1,IF(Tabelle1[[#This Row],[Einpressen]]=1,2,IF(Tabelle1[[#This Row],[Werkzeuglos]]=1,3,0)))=select!$E$7,1,0)</f>
        <v>0</v>
      </c>
      <c r="I55" s="46">
        <f ca="1">IF(Tabelle1[[#This Row],[Winkel]]+Tabelle1[[#This Row],[Kröpfung]]+Tabelle1[[#This Row],[Däpfung]]+Tabelle1[[#This Row],[Bohrbild]]+Tabelle1[[#This Row],[Scharnierbefestigung]]=5,1,0)</f>
        <v>0</v>
      </c>
      <c r="J55" t="str">
        <f ca="1">Sprache!$A$56</f>
        <v>TIOMOS hinge TS-Impresso</v>
      </c>
      <c r="K55" t="s">
        <v>125</v>
      </c>
      <c r="L55" t="s">
        <v>73</v>
      </c>
      <c r="M55">
        <v>3</v>
      </c>
      <c r="N55" t="s">
        <v>3</v>
      </c>
      <c r="O55">
        <v>95</v>
      </c>
      <c r="P55">
        <v>1</v>
      </c>
      <c r="Q55">
        <v>0</v>
      </c>
      <c r="R55">
        <v>0</v>
      </c>
      <c r="S55">
        <v>0</v>
      </c>
      <c r="T55">
        <v>0</v>
      </c>
      <c r="U55">
        <v>1</v>
      </c>
      <c r="V55" s="14" t="s">
        <v>124</v>
      </c>
    </row>
    <row r="56" spans="1:22" ht="14.25" customHeight="1" x14ac:dyDescent="0.25">
      <c r="A56" s="48" t="str">
        <f>LEFT(Tabelle1[[#This Row],[Artikel'#]],4)</f>
        <v>F017</v>
      </c>
      <c r="B56" s="46" t="str">
        <f>MID(Tabelle1[[#This Row],[Artikel'#]],5,3)</f>
        <v>139</v>
      </c>
      <c r="C56" s="48" t="str">
        <f>RIGHT(Tabelle1[[#This Row],[Artikel'#]],3)</f>
        <v>440</v>
      </c>
      <c r="D56" s="46">
        <f>IF(Tabelle1[[#This Row],[Winkel2]]=select!$A$2,1,0)</f>
        <v>0</v>
      </c>
      <c r="E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6" s="46">
        <f>IF(select!$E$16=IF(Tabelle1[[#This Row],[mit Dämpfung]]=1,1,IF(Tabelle1[[#This Row],[ohne Dämpfung]]=1,2,IF(Tabelle1[[#This Row],[ohne Feder]]=1,3,0))),1,0)</f>
        <v>1</v>
      </c>
      <c r="G56" s="46">
        <f>IF(Tabelle1[[#This Row],[Links]]=select!$I$2,1,0)</f>
        <v>0</v>
      </c>
      <c r="H56" s="46">
        <f>IF(IF(Tabelle1[[#This Row],[Anschrauben]]=1,1,IF(Tabelle1[[#This Row],[Einpressen]]=1,2,IF(Tabelle1[[#This Row],[Werkzeuglos]]=1,3,0)))=select!$E$7,1,0)</f>
        <v>0</v>
      </c>
      <c r="I56" s="46">
        <f ca="1">IF(Tabelle1[[#This Row],[Winkel]]+Tabelle1[[#This Row],[Kröpfung]]+Tabelle1[[#This Row],[Däpfung]]+Tabelle1[[#This Row],[Bohrbild]]+Tabelle1[[#This Row],[Scharnierbefestigung]]=5,1,0)</f>
        <v>0</v>
      </c>
      <c r="J56" t="str">
        <f ca="1">Sprache!$A$56</f>
        <v>TIOMOS hinge TS-Impresso</v>
      </c>
      <c r="K56" t="s">
        <v>127</v>
      </c>
      <c r="L56" t="s">
        <v>73</v>
      </c>
      <c r="M56">
        <v>9.5</v>
      </c>
      <c r="N56" t="s">
        <v>13</v>
      </c>
      <c r="O56">
        <v>95</v>
      </c>
      <c r="P56">
        <v>1</v>
      </c>
      <c r="Q56">
        <v>0</v>
      </c>
      <c r="R56">
        <v>0</v>
      </c>
      <c r="S56">
        <v>0</v>
      </c>
      <c r="T56">
        <v>0</v>
      </c>
      <c r="U56">
        <v>1</v>
      </c>
      <c r="V56" s="14" t="s">
        <v>126</v>
      </c>
    </row>
    <row r="57" spans="1:22" ht="14.25" customHeight="1" x14ac:dyDescent="0.25">
      <c r="A57" s="48" t="str">
        <f>LEFT(Tabelle1[[#This Row],[Artikel'#]],4)</f>
        <v>F017</v>
      </c>
      <c r="B57" s="46" t="str">
        <f>MID(Tabelle1[[#This Row],[Artikel'#]],5,3)</f>
        <v>139</v>
      </c>
      <c r="C57" s="48" t="str">
        <f>RIGHT(Tabelle1[[#This Row],[Artikel'#]],3)</f>
        <v>440</v>
      </c>
      <c r="D57" s="46">
        <f>IF(Tabelle1[[#This Row],[Winkel2]]=select!$A$2,1,0)</f>
        <v>0</v>
      </c>
      <c r="E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7" s="46">
        <f>IF(select!$E$16=IF(Tabelle1[[#This Row],[mit Dämpfung]]=1,1,IF(Tabelle1[[#This Row],[ohne Dämpfung]]=1,2,IF(Tabelle1[[#This Row],[ohne Feder]]=1,3,0))),1,0)</f>
        <v>1</v>
      </c>
      <c r="G57" s="46">
        <f>IF(Tabelle1[[#This Row],[Links]]=select!$I$2,1,0)</f>
        <v>1</v>
      </c>
      <c r="H57" s="46">
        <f>IF(IF(Tabelle1[[#This Row],[Anschrauben]]=1,1,IF(Tabelle1[[#This Row],[Einpressen]]=1,2,IF(Tabelle1[[#This Row],[Werkzeuglos]]=1,3,0)))=select!$E$7,1,0)</f>
        <v>0</v>
      </c>
      <c r="I57" s="46">
        <f ca="1">IF(Tabelle1[[#This Row],[Winkel]]+Tabelle1[[#This Row],[Kröpfung]]+Tabelle1[[#This Row],[Däpfung]]+Tabelle1[[#This Row],[Bohrbild]]+Tabelle1[[#This Row],[Scharnierbefestigung]]=5,1,0)</f>
        <v>0</v>
      </c>
      <c r="J57" t="str">
        <f ca="1">Sprache!$A$56</f>
        <v>TIOMOS hinge TS-Impresso</v>
      </c>
      <c r="K57" t="s">
        <v>127</v>
      </c>
      <c r="L57" t="s">
        <v>73</v>
      </c>
      <c r="M57">
        <v>9.5</v>
      </c>
      <c r="N57" t="s">
        <v>3</v>
      </c>
      <c r="O57">
        <v>95</v>
      </c>
      <c r="P57">
        <v>1</v>
      </c>
      <c r="Q57">
        <v>0</v>
      </c>
      <c r="R57">
        <v>0</v>
      </c>
      <c r="S57">
        <v>0</v>
      </c>
      <c r="T57">
        <v>0</v>
      </c>
      <c r="U57">
        <v>1</v>
      </c>
      <c r="V57" s="14" t="s">
        <v>126</v>
      </c>
    </row>
    <row r="58" spans="1:22" ht="14.25" customHeight="1" x14ac:dyDescent="0.25">
      <c r="A58" s="48" t="str">
        <f>LEFT(Tabelle1[[#This Row],[Artikel'#]],4)</f>
        <v>F017</v>
      </c>
      <c r="B58" s="46" t="str">
        <f>MID(Tabelle1[[#This Row],[Artikel'#]],5,3)</f>
        <v>139</v>
      </c>
      <c r="C58" s="48" t="str">
        <f>RIGHT(Tabelle1[[#This Row],[Artikel'#]],3)</f>
        <v>441</v>
      </c>
      <c r="D58" s="46">
        <f>IF(Tabelle1[[#This Row],[Winkel2]]=select!$A$2,1,0)</f>
        <v>0</v>
      </c>
      <c r="E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" s="46">
        <f>IF(select!$E$16=IF(Tabelle1[[#This Row],[mit Dämpfung]]=1,1,IF(Tabelle1[[#This Row],[ohne Dämpfung]]=1,2,IF(Tabelle1[[#This Row],[ohne Feder]]=1,3,0))),1,0)</f>
        <v>1</v>
      </c>
      <c r="G58" s="46">
        <f>IF(Tabelle1[[#This Row],[Links]]=select!$I$2,1,0)</f>
        <v>0</v>
      </c>
      <c r="H58" s="46">
        <f>IF(IF(Tabelle1[[#This Row],[Anschrauben]]=1,1,IF(Tabelle1[[#This Row],[Einpressen]]=1,2,IF(Tabelle1[[#This Row],[Werkzeuglos]]=1,3,0)))=select!$E$7,1,0)</f>
        <v>0</v>
      </c>
      <c r="I58" s="46">
        <f ca="1">IF(Tabelle1[[#This Row],[Winkel]]+Tabelle1[[#This Row],[Kröpfung]]+Tabelle1[[#This Row],[Däpfung]]+Tabelle1[[#This Row],[Bohrbild]]+Tabelle1[[#This Row],[Scharnierbefestigung]]=5,1,0)</f>
        <v>0</v>
      </c>
      <c r="J58" t="str">
        <f ca="1">Sprache!$A$56</f>
        <v>TIOMOS hinge TS-Impresso</v>
      </c>
      <c r="K58" t="s">
        <v>129</v>
      </c>
      <c r="L58" t="s">
        <v>73</v>
      </c>
      <c r="M58">
        <v>19</v>
      </c>
      <c r="N58" t="s">
        <v>13</v>
      </c>
      <c r="O58">
        <v>95</v>
      </c>
      <c r="P58">
        <v>1</v>
      </c>
      <c r="Q58">
        <v>0</v>
      </c>
      <c r="R58">
        <v>0</v>
      </c>
      <c r="S58">
        <v>0</v>
      </c>
      <c r="T58">
        <v>0</v>
      </c>
      <c r="U58">
        <v>1</v>
      </c>
      <c r="V58" s="14" t="s">
        <v>128</v>
      </c>
    </row>
    <row r="59" spans="1:22" ht="14.25" customHeight="1" x14ac:dyDescent="0.25">
      <c r="A59" s="48" t="str">
        <f>LEFT(Tabelle1[[#This Row],[Artikel'#]],4)</f>
        <v>F017</v>
      </c>
      <c r="B59" s="46" t="str">
        <f>MID(Tabelle1[[#This Row],[Artikel'#]],5,3)</f>
        <v>139</v>
      </c>
      <c r="C59" s="48" t="str">
        <f>RIGHT(Tabelle1[[#This Row],[Artikel'#]],3)</f>
        <v>441</v>
      </c>
      <c r="D59" s="46">
        <f>IF(Tabelle1[[#This Row],[Winkel2]]=select!$A$2,1,0)</f>
        <v>0</v>
      </c>
      <c r="E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" s="46">
        <f>IF(select!$E$16=IF(Tabelle1[[#This Row],[mit Dämpfung]]=1,1,IF(Tabelle1[[#This Row],[ohne Dämpfung]]=1,2,IF(Tabelle1[[#This Row],[ohne Feder]]=1,3,0))),1,0)</f>
        <v>1</v>
      </c>
      <c r="G59" s="46">
        <f>IF(Tabelle1[[#This Row],[Links]]=select!$I$2,1,0)</f>
        <v>1</v>
      </c>
      <c r="H59" s="46">
        <f>IF(IF(Tabelle1[[#This Row],[Anschrauben]]=1,1,IF(Tabelle1[[#This Row],[Einpressen]]=1,2,IF(Tabelle1[[#This Row],[Werkzeuglos]]=1,3,0)))=select!$E$7,1,0)</f>
        <v>0</v>
      </c>
      <c r="I59" s="46">
        <f ca="1">IF(Tabelle1[[#This Row],[Winkel]]+Tabelle1[[#This Row],[Kröpfung]]+Tabelle1[[#This Row],[Däpfung]]+Tabelle1[[#This Row],[Bohrbild]]+Tabelle1[[#This Row],[Scharnierbefestigung]]=5,1,0)</f>
        <v>0</v>
      </c>
      <c r="J59" t="str">
        <f ca="1">Sprache!$A$56</f>
        <v>TIOMOS hinge TS-Impresso</v>
      </c>
      <c r="K59" t="s">
        <v>129</v>
      </c>
      <c r="L59" t="s">
        <v>73</v>
      </c>
      <c r="M59">
        <v>19</v>
      </c>
      <c r="N59" t="s">
        <v>3</v>
      </c>
      <c r="O59">
        <v>95</v>
      </c>
      <c r="P59">
        <v>1</v>
      </c>
      <c r="Q59">
        <v>0</v>
      </c>
      <c r="R59">
        <v>0</v>
      </c>
      <c r="S59">
        <v>0</v>
      </c>
      <c r="T59">
        <v>0</v>
      </c>
      <c r="U59">
        <v>1</v>
      </c>
      <c r="V59" s="14" t="s">
        <v>128</v>
      </c>
    </row>
    <row r="60" spans="1:22" ht="14.25" customHeight="1" x14ac:dyDescent="0.25">
      <c r="A60" s="48" t="str">
        <f>LEFT(Tabelle1[[#This Row],[Artikel'#]],4)</f>
        <v>F017</v>
      </c>
      <c r="B60" s="46" t="str">
        <f>MID(Tabelle1[[#This Row],[Artikel'#]],5,3)</f>
        <v>139</v>
      </c>
      <c r="C60" s="48" t="str">
        <f>RIGHT(Tabelle1[[#This Row],[Artikel'#]],3)</f>
        <v>499</v>
      </c>
      <c r="D60" s="46">
        <f>IF(Tabelle1[[#This Row],[Winkel2]]=select!$A$2,1,0)</f>
        <v>1</v>
      </c>
      <c r="E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" s="46">
        <f>IF(select!$E$16=IF(Tabelle1[[#This Row],[mit Dämpfung]]=1,1,IF(Tabelle1[[#This Row],[ohne Dämpfung]]=1,2,IF(Tabelle1[[#This Row],[ohne Feder]]=1,3,0))),1,0)</f>
        <v>1</v>
      </c>
      <c r="G60" s="46">
        <f>IF(Tabelle1[[#This Row],[Links]]=select!$I$2,1,0)</f>
        <v>0</v>
      </c>
      <c r="H60" s="46">
        <f>IF(IF(Tabelle1[[#This Row],[Anschrauben]]=1,1,IF(Tabelle1[[#This Row],[Einpressen]]=1,2,IF(Tabelle1[[#This Row],[Werkzeuglos]]=1,3,0)))=select!$E$7,1,0)</f>
        <v>0</v>
      </c>
      <c r="I60" s="46">
        <f ca="1">IF(Tabelle1[[#This Row],[Winkel]]+Tabelle1[[#This Row],[Kröpfung]]+Tabelle1[[#This Row],[Däpfung]]+Tabelle1[[#This Row],[Bohrbild]]+Tabelle1[[#This Row],[Scharnierbefestigung]]=5,1,0)</f>
        <v>0</v>
      </c>
      <c r="J60" t="str">
        <f ca="1">Sprache!$A$56</f>
        <v>TIOMOS hinge TS-Impresso</v>
      </c>
      <c r="K60" t="s">
        <v>131</v>
      </c>
      <c r="L60" t="s">
        <v>73</v>
      </c>
      <c r="M60">
        <v>0</v>
      </c>
      <c r="N60" t="s">
        <v>14</v>
      </c>
      <c r="O60">
        <v>110</v>
      </c>
      <c r="P60">
        <v>1</v>
      </c>
      <c r="Q60">
        <v>0</v>
      </c>
      <c r="R60">
        <v>0</v>
      </c>
      <c r="S60">
        <v>0</v>
      </c>
      <c r="T60">
        <v>0</v>
      </c>
      <c r="U60">
        <v>1</v>
      </c>
      <c r="V60" s="14" t="s">
        <v>130</v>
      </c>
    </row>
    <row r="61" spans="1:22" ht="14.25" customHeight="1" x14ac:dyDescent="0.25">
      <c r="A61" s="48" t="str">
        <f>LEFT(Tabelle1[[#This Row],[Artikel'#]],4)</f>
        <v>F017</v>
      </c>
      <c r="B61" s="46" t="str">
        <f>MID(Tabelle1[[#This Row],[Artikel'#]],5,3)</f>
        <v>139</v>
      </c>
      <c r="C61" s="48" t="str">
        <f>RIGHT(Tabelle1[[#This Row],[Artikel'#]],3)</f>
        <v>499</v>
      </c>
      <c r="D61" s="46">
        <f>IF(Tabelle1[[#This Row],[Winkel2]]=select!$A$2,1,0)</f>
        <v>1</v>
      </c>
      <c r="E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" s="46">
        <f>IF(select!$E$16=IF(Tabelle1[[#This Row],[mit Dämpfung]]=1,1,IF(Tabelle1[[#This Row],[ohne Dämpfung]]=1,2,IF(Tabelle1[[#This Row],[ohne Feder]]=1,3,0))),1,0)</f>
        <v>1</v>
      </c>
      <c r="G61" s="46">
        <f>IF(Tabelle1[[#This Row],[Links]]=select!$I$2,1,0)</f>
        <v>0</v>
      </c>
      <c r="H61" s="46">
        <f>IF(IF(Tabelle1[[#This Row],[Anschrauben]]=1,1,IF(Tabelle1[[#This Row],[Einpressen]]=1,2,IF(Tabelle1[[#This Row],[Werkzeuglos]]=1,3,0)))=select!$E$7,1,0)</f>
        <v>0</v>
      </c>
      <c r="I61" s="46">
        <f ca="1">IF(Tabelle1[[#This Row],[Winkel]]+Tabelle1[[#This Row],[Kröpfung]]+Tabelle1[[#This Row],[Däpfung]]+Tabelle1[[#This Row],[Bohrbild]]+Tabelle1[[#This Row],[Scharnierbefestigung]]=5,1,0)</f>
        <v>0</v>
      </c>
      <c r="J61" t="str">
        <f ca="1">Sprache!$A$56</f>
        <v>TIOMOS hinge TS-Impresso</v>
      </c>
      <c r="K61" t="s">
        <v>131</v>
      </c>
      <c r="L61" t="s">
        <v>73</v>
      </c>
      <c r="M61">
        <v>0</v>
      </c>
      <c r="N61" t="s">
        <v>15</v>
      </c>
      <c r="O61">
        <v>110</v>
      </c>
      <c r="P61">
        <v>1</v>
      </c>
      <c r="Q61">
        <v>0</v>
      </c>
      <c r="R61">
        <v>0</v>
      </c>
      <c r="S61">
        <v>0</v>
      </c>
      <c r="T61">
        <v>0</v>
      </c>
      <c r="U61">
        <v>1</v>
      </c>
      <c r="V61" s="14" t="s">
        <v>130</v>
      </c>
    </row>
    <row r="62" spans="1:22" ht="14.25" customHeight="1" x14ac:dyDescent="0.25">
      <c r="A62" s="48" t="str">
        <f>LEFT(Tabelle1[[#This Row],[Artikel'#]],4)</f>
        <v>F017</v>
      </c>
      <c r="B62" s="46" t="str">
        <f>MID(Tabelle1[[#This Row],[Artikel'#]],5,3)</f>
        <v>139</v>
      </c>
      <c r="C62" s="48" t="str">
        <f>RIGHT(Tabelle1[[#This Row],[Artikel'#]],3)</f>
        <v>500</v>
      </c>
      <c r="D62" s="46">
        <f>IF(Tabelle1[[#This Row],[Winkel2]]=select!$A$2,1,0)</f>
        <v>1</v>
      </c>
      <c r="E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" s="46">
        <f>IF(select!$E$16=IF(Tabelle1[[#This Row],[mit Dämpfung]]=1,1,IF(Tabelle1[[#This Row],[ohne Dämpfung]]=1,2,IF(Tabelle1[[#This Row],[ohne Feder]]=1,3,0))),1,0)</f>
        <v>1</v>
      </c>
      <c r="G62" s="46">
        <f>IF(Tabelle1[[#This Row],[Links]]=select!$I$2,1,0)</f>
        <v>0</v>
      </c>
      <c r="H62" s="46">
        <f>IF(IF(Tabelle1[[#This Row],[Anschrauben]]=1,1,IF(Tabelle1[[#This Row],[Einpressen]]=1,2,IF(Tabelle1[[#This Row],[Werkzeuglos]]=1,3,0)))=select!$E$7,1,0)</f>
        <v>0</v>
      </c>
      <c r="I62" s="46">
        <f ca="1">IF(Tabelle1[[#This Row],[Winkel]]+Tabelle1[[#This Row],[Kröpfung]]+Tabelle1[[#This Row],[Däpfung]]+Tabelle1[[#This Row],[Bohrbild]]+Tabelle1[[#This Row],[Scharnierbefestigung]]=5,1,0)</f>
        <v>0</v>
      </c>
      <c r="J62" t="str">
        <f ca="1">Sprache!$A$56</f>
        <v>TIOMOS hinge TS-Impresso</v>
      </c>
      <c r="K62" t="s">
        <v>133</v>
      </c>
      <c r="L62" t="s">
        <v>73</v>
      </c>
      <c r="M62">
        <v>3</v>
      </c>
      <c r="N62" t="s">
        <v>14</v>
      </c>
      <c r="O62">
        <v>110</v>
      </c>
      <c r="P62">
        <v>1</v>
      </c>
      <c r="Q62">
        <v>0</v>
      </c>
      <c r="R62">
        <v>0</v>
      </c>
      <c r="S62">
        <v>0</v>
      </c>
      <c r="T62">
        <v>0</v>
      </c>
      <c r="U62">
        <v>1</v>
      </c>
      <c r="V62" s="14" t="s">
        <v>132</v>
      </c>
    </row>
    <row r="63" spans="1:22" ht="14.25" customHeight="1" x14ac:dyDescent="0.25">
      <c r="A63" s="48" t="str">
        <f>LEFT(Tabelle1[[#This Row],[Artikel'#]],4)</f>
        <v>F017</v>
      </c>
      <c r="B63" s="46" t="str">
        <f>MID(Tabelle1[[#This Row],[Artikel'#]],5,3)</f>
        <v>139</v>
      </c>
      <c r="C63" s="48" t="str">
        <f>RIGHT(Tabelle1[[#This Row],[Artikel'#]],3)</f>
        <v>500</v>
      </c>
      <c r="D63" s="46">
        <f>IF(Tabelle1[[#This Row],[Winkel2]]=select!$A$2,1,0)</f>
        <v>1</v>
      </c>
      <c r="E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" s="46">
        <f>IF(select!$E$16=IF(Tabelle1[[#This Row],[mit Dämpfung]]=1,1,IF(Tabelle1[[#This Row],[ohne Dämpfung]]=1,2,IF(Tabelle1[[#This Row],[ohne Feder]]=1,3,0))),1,0)</f>
        <v>1</v>
      </c>
      <c r="G63" s="46">
        <f>IF(Tabelle1[[#This Row],[Links]]=select!$I$2,1,0)</f>
        <v>0</v>
      </c>
      <c r="H63" s="46">
        <f>IF(IF(Tabelle1[[#This Row],[Anschrauben]]=1,1,IF(Tabelle1[[#This Row],[Einpressen]]=1,2,IF(Tabelle1[[#This Row],[Werkzeuglos]]=1,3,0)))=select!$E$7,1,0)</f>
        <v>0</v>
      </c>
      <c r="I63" s="46">
        <f ca="1">IF(Tabelle1[[#This Row],[Winkel]]+Tabelle1[[#This Row],[Kröpfung]]+Tabelle1[[#This Row],[Däpfung]]+Tabelle1[[#This Row],[Bohrbild]]+Tabelle1[[#This Row],[Scharnierbefestigung]]=5,1,0)</f>
        <v>0</v>
      </c>
      <c r="J63" t="str">
        <f ca="1">Sprache!$A$56</f>
        <v>TIOMOS hinge TS-Impresso</v>
      </c>
      <c r="K63" t="s">
        <v>133</v>
      </c>
      <c r="L63" t="s">
        <v>73</v>
      </c>
      <c r="M63">
        <v>3</v>
      </c>
      <c r="N63" t="s">
        <v>15</v>
      </c>
      <c r="O63">
        <v>110</v>
      </c>
      <c r="P63">
        <v>1</v>
      </c>
      <c r="Q63">
        <v>0</v>
      </c>
      <c r="R63">
        <v>0</v>
      </c>
      <c r="S63">
        <v>0</v>
      </c>
      <c r="T63">
        <v>0</v>
      </c>
      <c r="U63">
        <v>1</v>
      </c>
      <c r="V63" s="14" t="s">
        <v>132</v>
      </c>
    </row>
    <row r="64" spans="1:22" ht="14.25" customHeight="1" x14ac:dyDescent="0.25">
      <c r="A64" s="48" t="str">
        <f>LEFT(Tabelle1[[#This Row],[Artikel'#]],4)</f>
        <v>F017</v>
      </c>
      <c r="B64" s="46" t="str">
        <f>MID(Tabelle1[[#This Row],[Artikel'#]],5,3)</f>
        <v>139</v>
      </c>
      <c r="C64" s="48" t="str">
        <f>RIGHT(Tabelle1[[#This Row],[Artikel'#]],3)</f>
        <v>501</v>
      </c>
      <c r="D64" s="46">
        <f>IF(Tabelle1[[#This Row],[Winkel2]]=select!$A$2,1,0)</f>
        <v>1</v>
      </c>
      <c r="E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4" s="46">
        <f>IF(select!$E$16=IF(Tabelle1[[#This Row],[mit Dämpfung]]=1,1,IF(Tabelle1[[#This Row],[ohne Dämpfung]]=1,2,IF(Tabelle1[[#This Row],[ohne Feder]]=1,3,0))),1,0)</f>
        <v>1</v>
      </c>
      <c r="G64" s="46">
        <f>IF(Tabelle1[[#This Row],[Links]]=select!$I$2,1,0)</f>
        <v>0</v>
      </c>
      <c r="H64" s="46">
        <f>IF(IF(Tabelle1[[#This Row],[Anschrauben]]=1,1,IF(Tabelle1[[#This Row],[Einpressen]]=1,2,IF(Tabelle1[[#This Row],[Werkzeuglos]]=1,3,0)))=select!$E$7,1,0)</f>
        <v>0</v>
      </c>
      <c r="I64" s="46">
        <f ca="1">IF(Tabelle1[[#This Row],[Winkel]]+Tabelle1[[#This Row],[Kröpfung]]+Tabelle1[[#This Row],[Däpfung]]+Tabelle1[[#This Row],[Bohrbild]]+Tabelle1[[#This Row],[Scharnierbefestigung]]=5,1,0)</f>
        <v>0</v>
      </c>
      <c r="J64" t="str">
        <f ca="1">Sprache!$A$56</f>
        <v>TIOMOS hinge TS-Impresso</v>
      </c>
      <c r="K64" t="s">
        <v>135</v>
      </c>
      <c r="L64" t="s">
        <v>73</v>
      </c>
      <c r="M64">
        <v>9.5</v>
      </c>
      <c r="N64" t="s">
        <v>14</v>
      </c>
      <c r="O64">
        <v>110</v>
      </c>
      <c r="P64">
        <v>1</v>
      </c>
      <c r="Q64">
        <v>0</v>
      </c>
      <c r="R64">
        <v>0</v>
      </c>
      <c r="S64">
        <v>0</v>
      </c>
      <c r="T64">
        <v>0</v>
      </c>
      <c r="U64">
        <v>1</v>
      </c>
      <c r="V64" s="14" t="s">
        <v>134</v>
      </c>
    </row>
    <row r="65" spans="1:22" ht="14.25" customHeight="1" x14ac:dyDescent="0.25">
      <c r="A65" s="48" t="str">
        <f>LEFT(Tabelle1[[#This Row],[Artikel'#]],4)</f>
        <v>F017</v>
      </c>
      <c r="B65" s="46" t="str">
        <f>MID(Tabelle1[[#This Row],[Artikel'#]],5,3)</f>
        <v>139</v>
      </c>
      <c r="C65" s="48" t="str">
        <f>RIGHT(Tabelle1[[#This Row],[Artikel'#]],3)</f>
        <v>501</v>
      </c>
      <c r="D65" s="46">
        <f>IF(Tabelle1[[#This Row],[Winkel2]]=select!$A$2,1,0)</f>
        <v>1</v>
      </c>
      <c r="E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5" s="46">
        <f>IF(select!$E$16=IF(Tabelle1[[#This Row],[mit Dämpfung]]=1,1,IF(Tabelle1[[#This Row],[ohne Dämpfung]]=1,2,IF(Tabelle1[[#This Row],[ohne Feder]]=1,3,0))),1,0)</f>
        <v>1</v>
      </c>
      <c r="G65" s="46">
        <f>IF(Tabelle1[[#This Row],[Links]]=select!$I$2,1,0)</f>
        <v>0</v>
      </c>
      <c r="H65" s="46">
        <f>IF(IF(Tabelle1[[#This Row],[Anschrauben]]=1,1,IF(Tabelle1[[#This Row],[Einpressen]]=1,2,IF(Tabelle1[[#This Row],[Werkzeuglos]]=1,3,0)))=select!$E$7,1,0)</f>
        <v>0</v>
      </c>
      <c r="I65" s="46">
        <f ca="1">IF(Tabelle1[[#This Row],[Winkel]]+Tabelle1[[#This Row],[Kröpfung]]+Tabelle1[[#This Row],[Däpfung]]+Tabelle1[[#This Row],[Bohrbild]]+Tabelle1[[#This Row],[Scharnierbefestigung]]=5,1,0)</f>
        <v>0</v>
      </c>
      <c r="J65" t="str">
        <f ca="1">Sprache!$A$56</f>
        <v>TIOMOS hinge TS-Impresso</v>
      </c>
      <c r="K65" t="s">
        <v>135</v>
      </c>
      <c r="L65" t="s">
        <v>73</v>
      </c>
      <c r="M65">
        <v>9.5</v>
      </c>
      <c r="N65" t="s">
        <v>15</v>
      </c>
      <c r="O65">
        <v>110</v>
      </c>
      <c r="P65">
        <v>1</v>
      </c>
      <c r="Q65">
        <v>0</v>
      </c>
      <c r="R65">
        <v>0</v>
      </c>
      <c r="S65">
        <v>0</v>
      </c>
      <c r="T65">
        <v>0</v>
      </c>
      <c r="U65">
        <v>1</v>
      </c>
      <c r="V65" s="14" t="s">
        <v>134</v>
      </c>
    </row>
    <row r="66" spans="1:22" ht="14.25" customHeight="1" x14ac:dyDescent="0.25">
      <c r="A66" s="48" t="str">
        <f>LEFT(Tabelle1[[#This Row],[Artikel'#]],4)</f>
        <v>F017</v>
      </c>
      <c r="B66" s="46" t="str">
        <f>MID(Tabelle1[[#This Row],[Artikel'#]],5,3)</f>
        <v>139</v>
      </c>
      <c r="C66" s="48" t="str">
        <f>RIGHT(Tabelle1[[#This Row],[Artikel'#]],3)</f>
        <v>502</v>
      </c>
      <c r="D66" s="46">
        <f>IF(Tabelle1[[#This Row],[Winkel2]]=select!$A$2,1,0)</f>
        <v>1</v>
      </c>
      <c r="E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" s="46">
        <f>IF(select!$E$16=IF(Tabelle1[[#This Row],[mit Dämpfung]]=1,1,IF(Tabelle1[[#This Row],[ohne Dämpfung]]=1,2,IF(Tabelle1[[#This Row],[ohne Feder]]=1,3,0))),1,0)</f>
        <v>1</v>
      </c>
      <c r="G66" s="46">
        <f>IF(Tabelle1[[#This Row],[Links]]=select!$I$2,1,0)</f>
        <v>0</v>
      </c>
      <c r="H66" s="46">
        <f>IF(IF(Tabelle1[[#This Row],[Anschrauben]]=1,1,IF(Tabelle1[[#This Row],[Einpressen]]=1,2,IF(Tabelle1[[#This Row],[Werkzeuglos]]=1,3,0)))=select!$E$7,1,0)</f>
        <v>0</v>
      </c>
      <c r="I66" s="46">
        <f ca="1">IF(Tabelle1[[#This Row],[Winkel]]+Tabelle1[[#This Row],[Kröpfung]]+Tabelle1[[#This Row],[Däpfung]]+Tabelle1[[#This Row],[Bohrbild]]+Tabelle1[[#This Row],[Scharnierbefestigung]]=5,1,0)</f>
        <v>0</v>
      </c>
      <c r="J66" t="str">
        <f ca="1">Sprache!$A$56</f>
        <v>TIOMOS hinge TS-Impresso</v>
      </c>
      <c r="K66" t="s">
        <v>137</v>
      </c>
      <c r="L66" t="s">
        <v>73</v>
      </c>
      <c r="M66">
        <v>19</v>
      </c>
      <c r="N66" t="s">
        <v>14</v>
      </c>
      <c r="O66">
        <v>110</v>
      </c>
      <c r="P66">
        <v>1</v>
      </c>
      <c r="Q66">
        <v>0</v>
      </c>
      <c r="R66">
        <v>0</v>
      </c>
      <c r="S66">
        <v>0</v>
      </c>
      <c r="T66">
        <v>0</v>
      </c>
      <c r="U66">
        <v>1</v>
      </c>
      <c r="V66" s="14" t="s">
        <v>136</v>
      </c>
    </row>
    <row r="67" spans="1:22" ht="14.25" customHeight="1" x14ac:dyDescent="0.25">
      <c r="A67" s="48" t="str">
        <f>LEFT(Tabelle1[[#This Row],[Artikel'#]],4)</f>
        <v>F017</v>
      </c>
      <c r="B67" s="46" t="str">
        <f>MID(Tabelle1[[#This Row],[Artikel'#]],5,3)</f>
        <v>139</v>
      </c>
      <c r="C67" s="48" t="str">
        <f>RIGHT(Tabelle1[[#This Row],[Artikel'#]],3)</f>
        <v>502</v>
      </c>
      <c r="D67" s="46">
        <f>IF(Tabelle1[[#This Row],[Winkel2]]=select!$A$2,1,0)</f>
        <v>1</v>
      </c>
      <c r="E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" s="46">
        <f>IF(select!$E$16=IF(Tabelle1[[#This Row],[mit Dämpfung]]=1,1,IF(Tabelle1[[#This Row],[ohne Dämpfung]]=1,2,IF(Tabelle1[[#This Row],[ohne Feder]]=1,3,0))),1,0)</f>
        <v>1</v>
      </c>
      <c r="G67" s="46">
        <f>IF(Tabelle1[[#This Row],[Links]]=select!$I$2,1,0)</f>
        <v>0</v>
      </c>
      <c r="H67" s="46">
        <f>IF(IF(Tabelle1[[#This Row],[Anschrauben]]=1,1,IF(Tabelle1[[#This Row],[Einpressen]]=1,2,IF(Tabelle1[[#This Row],[Werkzeuglos]]=1,3,0)))=select!$E$7,1,0)</f>
        <v>0</v>
      </c>
      <c r="I67" s="46">
        <f ca="1">IF(Tabelle1[[#This Row],[Winkel]]+Tabelle1[[#This Row],[Kröpfung]]+Tabelle1[[#This Row],[Däpfung]]+Tabelle1[[#This Row],[Bohrbild]]+Tabelle1[[#This Row],[Scharnierbefestigung]]=5,1,0)</f>
        <v>0</v>
      </c>
      <c r="J67" t="str">
        <f ca="1">Sprache!$A$56</f>
        <v>TIOMOS hinge TS-Impresso</v>
      </c>
      <c r="K67" t="s">
        <v>137</v>
      </c>
      <c r="L67" t="s">
        <v>73</v>
      </c>
      <c r="M67">
        <v>19</v>
      </c>
      <c r="N67" t="s">
        <v>15</v>
      </c>
      <c r="O67">
        <v>110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 s="14" t="s">
        <v>136</v>
      </c>
    </row>
    <row r="68" spans="1:22" ht="14.25" customHeight="1" x14ac:dyDescent="0.25">
      <c r="A68" s="48" t="str">
        <f>LEFT(Tabelle1[[#This Row],[Artikel'#]],4)</f>
        <v>F017</v>
      </c>
      <c r="B68" s="46" t="str">
        <f>MID(Tabelle1[[#This Row],[Artikel'#]],5,3)</f>
        <v>139</v>
      </c>
      <c r="C68" s="48" t="str">
        <f>RIGHT(Tabelle1[[#This Row],[Artikel'#]],3)</f>
        <v>513</v>
      </c>
      <c r="D68" s="46">
        <f>IF(Tabelle1[[#This Row],[Winkel2]]=select!$A$2,1,0)</f>
        <v>0</v>
      </c>
      <c r="E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" s="46">
        <f>IF(select!$E$16=IF(Tabelle1[[#This Row],[mit Dämpfung]]=1,1,IF(Tabelle1[[#This Row],[ohne Dämpfung]]=1,2,IF(Tabelle1[[#This Row],[ohne Feder]]=1,3,0))),1,0)</f>
        <v>1</v>
      </c>
      <c r="G68" s="46">
        <f>IF(Tabelle1[[#This Row],[Links]]=select!$I$2,1,0)</f>
        <v>0</v>
      </c>
      <c r="H68" s="46">
        <f>IF(IF(Tabelle1[[#This Row],[Anschrauben]]=1,1,IF(Tabelle1[[#This Row],[Einpressen]]=1,2,IF(Tabelle1[[#This Row],[Werkzeuglos]]=1,3,0)))=select!$E$7,1,0)</f>
        <v>0</v>
      </c>
      <c r="I68" s="46">
        <f ca="1">IF(Tabelle1[[#This Row],[Winkel]]+Tabelle1[[#This Row],[Kröpfung]]+Tabelle1[[#This Row],[Däpfung]]+Tabelle1[[#This Row],[Bohrbild]]+Tabelle1[[#This Row],[Scharnierbefestigung]]=5,1,0)</f>
        <v>0</v>
      </c>
      <c r="J68" t="str">
        <f ca="1">Sprache!$A$56</f>
        <v>TIOMOS hinge TS-Impresso</v>
      </c>
      <c r="K68" t="s">
        <v>139</v>
      </c>
      <c r="L68" t="s">
        <v>73</v>
      </c>
      <c r="M68">
        <v>0</v>
      </c>
      <c r="N68" t="s">
        <v>14</v>
      </c>
      <c r="O68">
        <v>120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 s="14" t="s">
        <v>138</v>
      </c>
    </row>
    <row r="69" spans="1:22" ht="14.25" customHeight="1" x14ac:dyDescent="0.25">
      <c r="A69" s="48" t="str">
        <f>LEFT(Tabelle1[[#This Row],[Artikel'#]],4)</f>
        <v>F017</v>
      </c>
      <c r="B69" s="46" t="str">
        <f>MID(Tabelle1[[#This Row],[Artikel'#]],5,3)</f>
        <v>139</v>
      </c>
      <c r="C69" s="48" t="str">
        <f>RIGHT(Tabelle1[[#This Row],[Artikel'#]],3)</f>
        <v>513</v>
      </c>
      <c r="D69" s="46">
        <f>IF(Tabelle1[[#This Row],[Winkel2]]=select!$A$2,1,0)</f>
        <v>0</v>
      </c>
      <c r="E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" s="46">
        <f>IF(select!$E$16=IF(Tabelle1[[#This Row],[mit Dämpfung]]=1,1,IF(Tabelle1[[#This Row],[ohne Dämpfung]]=1,2,IF(Tabelle1[[#This Row],[ohne Feder]]=1,3,0))),1,0)</f>
        <v>1</v>
      </c>
      <c r="G69" s="46">
        <f>IF(Tabelle1[[#This Row],[Links]]=select!$I$2,1,0)</f>
        <v>0</v>
      </c>
      <c r="H69" s="46">
        <f>IF(IF(Tabelle1[[#This Row],[Anschrauben]]=1,1,IF(Tabelle1[[#This Row],[Einpressen]]=1,2,IF(Tabelle1[[#This Row],[Werkzeuglos]]=1,3,0)))=select!$E$7,1,0)</f>
        <v>0</v>
      </c>
      <c r="I69" s="46">
        <f ca="1">IF(Tabelle1[[#This Row],[Winkel]]+Tabelle1[[#This Row],[Kröpfung]]+Tabelle1[[#This Row],[Däpfung]]+Tabelle1[[#This Row],[Bohrbild]]+Tabelle1[[#This Row],[Scharnierbefestigung]]=5,1,0)</f>
        <v>0</v>
      </c>
      <c r="J69" t="str">
        <f ca="1">Sprache!$A$56</f>
        <v>TIOMOS hinge TS-Impresso</v>
      </c>
      <c r="K69" t="s">
        <v>139</v>
      </c>
      <c r="L69" t="s">
        <v>73</v>
      </c>
      <c r="M69">
        <v>0</v>
      </c>
      <c r="N69" t="s">
        <v>15</v>
      </c>
      <c r="O69">
        <v>120</v>
      </c>
      <c r="P69">
        <v>1</v>
      </c>
      <c r="Q69">
        <v>0</v>
      </c>
      <c r="R69">
        <v>0</v>
      </c>
      <c r="S69">
        <v>0</v>
      </c>
      <c r="T69">
        <v>0</v>
      </c>
      <c r="U69">
        <v>1</v>
      </c>
      <c r="V69" s="14" t="s">
        <v>138</v>
      </c>
    </row>
    <row r="70" spans="1:22" ht="14.25" customHeight="1" x14ac:dyDescent="0.25">
      <c r="A70" s="48" t="str">
        <f>LEFT(Tabelle1[[#This Row],[Artikel'#]],4)</f>
        <v>F017</v>
      </c>
      <c r="B70" s="46" t="str">
        <f>MID(Tabelle1[[#This Row],[Artikel'#]],5,3)</f>
        <v>139</v>
      </c>
      <c r="C70" s="48" t="str">
        <f>RIGHT(Tabelle1[[#This Row],[Artikel'#]],3)</f>
        <v>514</v>
      </c>
      <c r="D70" s="46">
        <f>IF(Tabelle1[[#This Row],[Winkel2]]=select!$A$2,1,0)</f>
        <v>0</v>
      </c>
      <c r="E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" s="46">
        <f>IF(select!$E$16=IF(Tabelle1[[#This Row],[mit Dämpfung]]=1,1,IF(Tabelle1[[#This Row],[ohne Dämpfung]]=1,2,IF(Tabelle1[[#This Row],[ohne Feder]]=1,3,0))),1,0)</f>
        <v>1</v>
      </c>
      <c r="G70" s="46">
        <f>IF(Tabelle1[[#This Row],[Links]]=select!$I$2,1,0)</f>
        <v>0</v>
      </c>
      <c r="H70" s="46">
        <f>IF(IF(Tabelle1[[#This Row],[Anschrauben]]=1,1,IF(Tabelle1[[#This Row],[Einpressen]]=1,2,IF(Tabelle1[[#This Row],[Werkzeuglos]]=1,3,0)))=select!$E$7,1,0)</f>
        <v>0</v>
      </c>
      <c r="I70" s="46">
        <f ca="1">IF(Tabelle1[[#This Row],[Winkel]]+Tabelle1[[#This Row],[Kröpfung]]+Tabelle1[[#This Row],[Däpfung]]+Tabelle1[[#This Row],[Bohrbild]]+Tabelle1[[#This Row],[Scharnierbefestigung]]=5,1,0)</f>
        <v>0</v>
      </c>
      <c r="J70" t="str">
        <f ca="1">Sprache!$A$56</f>
        <v>TIOMOS hinge TS-Impresso</v>
      </c>
      <c r="K70" t="s">
        <v>141</v>
      </c>
      <c r="L70" t="s">
        <v>73</v>
      </c>
      <c r="M70">
        <v>3</v>
      </c>
      <c r="N70" t="s">
        <v>14</v>
      </c>
      <c r="O70">
        <v>120</v>
      </c>
      <c r="P70">
        <v>1</v>
      </c>
      <c r="Q70">
        <v>0</v>
      </c>
      <c r="R70">
        <v>0</v>
      </c>
      <c r="S70">
        <v>0</v>
      </c>
      <c r="T70">
        <v>0</v>
      </c>
      <c r="U70">
        <v>1</v>
      </c>
      <c r="V70" s="14" t="s">
        <v>140</v>
      </c>
    </row>
    <row r="71" spans="1:22" ht="14.25" customHeight="1" x14ac:dyDescent="0.25">
      <c r="A71" s="48" t="str">
        <f>LEFT(Tabelle1[[#This Row],[Artikel'#]],4)</f>
        <v>F017</v>
      </c>
      <c r="B71" s="46" t="str">
        <f>MID(Tabelle1[[#This Row],[Artikel'#]],5,3)</f>
        <v>139</v>
      </c>
      <c r="C71" s="48" t="str">
        <f>RIGHT(Tabelle1[[#This Row],[Artikel'#]],3)</f>
        <v>514</v>
      </c>
      <c r="D71" s="46">
        <f>IF(Tabelle1[[#This Row],[Winkel2]]=select!$A$2,1,0)</f>
        <v>0</v>
      </c>
      <c r="E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" s="46">
        <f>IF(select!$E$16=IF(Tabelle1[[#This Row],[mit Dämpfung]]=1,1,IF(Tabelle1[[#This Row],[ohne Dämpfung]]=1,2,IF(Tabelle1[[#This Row],[ohne Feder]]=1,3,0))),1,0)</f>
        <v>1</v>
      </c>
      <c r="G71" s="46">
        <f>IF(Tabelle1[[#This Row],[Links]]=select!$I$2,1,0)</f>
        <v>0</v>
      </c>
      <c r="H71" s="46">
        <f>IF(IF(Tabelle1[[#This Row],[Anschrauben]]=1,1,IF(Tabelle1[[#This Row],[Einpressen]]=1,2,IF(Tabelle1[[#This Row],[Werkzeuglos]]=1,3,0)))=select!$E$7,1,0)</f>
        <v>0</v>
      </c>
      <c r="I71" s="46">
        <f ca="1">IF(Tabelle1[[#This Row],[Winkel]]+Tabelle1[[#This Row],[Kröpfung]]+Tabelle1[[#This Row],[Däpfung]]+Tabelle1[[#This Row],[Bohrbild]]+Tabelle1[[#This Row],[Scharnierbefestigung]]=5,1,0)</f>
        <v>0</v>
      </c>
      <c r="J71" t="str">
        <f ca="1">Sprache!$A$56</f>
        <v>TIOMOS hinge TS-Impresso</v>
      </c>
      <c r="K71" t="s">
        <v>141</v>
      </c>
      <c r="L71" t="s">
        <v>73</v>
      </c>
      <c r="M71">
        <v>3</v>
      </c>
      <c r="N71" t="s">
        <v>15</v>
      </c>
      <c r="O71">
        <v>120</v>
      </c>
      <c r="P71">
        <v>1</v>
      </c>
      <c r="Q71">
        <v>0</v>
      </c>
      <c r="R71">
        <v>0</v>
      </c>
      <c r="S71">
        <v>0</v>
      </c>
      <c r="T71">
        <v>0</v>
      </c>
      <c r="U71">
        <v>1</v>
      </c>
      <c r="V71" s="14" t="s">
        <v>140</v>
      </c>
    </row>
    <row r="72" spans="1:22" ht="14.25" customHeight="1" x14ac:dyDescent="0.25">
      <c r="A72" s="48" t="str">
        <f>LEFT(Tabelle1[[#This Row],[Artikel'#]],4)</f>
        <v>F017</v>
      </c>
      <c r="B72" s="46" t="str">
        <f>MID(Tabelle1[[#This Row],[Artikel'#]],5,3)</f>
        <v>139</v>
      </c>
      <c r="C72" s="48" t="str">
        <f>RIGHT(Tabelle1[[#This Row],[Artikel'#]],3)</f>
        <v>515</v>
      </c>
      <c r="D72" s="46">
        <f>IF(Tabelle1[[#This Row],[Winkel2]]=select!$A$2,1,0)</f>
        <v>0</v>
      </c>
      <c r="E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2" s="46">
        <f>IF(select!$E$16=IF(Tabelle1[[#This Row],[mit Dämpfung]]=1,1,IF(Tabelle1[[#This Row],[ohne Dämpfung]]=1,2,IF(Tabelle1[[#This Row],[ohne Feder]]=1,3,0))),1,0)</f>
        <v>1</v>
      </c>
      <c r="G72" s="46">
        <f>IF(Tabelle1[[#This Row],[Links]]=select!$I$2,1,0)</f>
        <v>0</v>
      </c>
      <c r="H72" s="46">
        <f>IF(IF(Tabelle1[[#This Row],[Anschrauben]]=1,1,IF(Tabelle1[[#This Row],[Einpressen]]=1,2,IF(Tabelle1[[#This Row],[Werkzeuglos]]=1,3,0)))=select!$E$7,1,0)</f>
        <v>0</v>
      </c>
      <c r="I72" s="46">
        <f ca="1">IF(Tabelle1[[#This Row],[Winkel]]+Tabelle1[[#This Row],[Kröpfung]]+Tabelle1[[#This Row],[Däpfung]]+Tabelle1[[#This Row],[Bohrbild]]+Tabelle1[[#This Row],[Scharnierbefestigung]]=5,1,0)</f>
        <v>0</v>
      </c>
      <c r="J72" t="str">
        <f ca="1">Sprache!$A$56</f>
        <v>TIOMOS hinge TS-Impresso</v>
      </c>
      <c r="K72" t="s">
        <v>143</v>
      </c>
      <c r="L72" t="s">
        <v>73</v>
      </c>
      <c r="M72">
        <v>9.5</v>
      </c>
      <c r="N72" t="s">
        <v>14</v>
      </c>
      <c r="O72">
        <v>120</v>
      </c>
      <c r="P72">
        <v>1</v>
      </c>
      <c r="Q72">
        <v>0</v>
      </c>
      <c r="R72">
        <v>0</v>
      </c>
      <c r="S72">
        <v>0</v>
      </c>
      <c r="T72">
        <v>0</v>
      </c>
      <c r="U72">
        <v>1</v>
      </c>
      <c r="V72" s="14" t="s">
        <v>142</v>
      </c>
    </row>
    <row r="73" spans="1:22" ht="14.25" customHeight="1" x14ac:dyDescent="0.25">
      <c r="A73" s="48" t="str">
        <f>LEFT(Tabelle1[[#This Row],[Artikel'#]],4)</f>
        <v>F017</v>
      </c>
      <c r="B73" s="46" t="str">
        <f>MID(Tabelle1[[#This Row],[Artikel'#]],5,3)</f>
        <v>139</v>
      </c>
      <c r="C73" s="48" t="str">
        <f>RIGHT(Tabelle1[[#This Row],[Artikel'#]],3)</f>
        <v>515</v>
      </c>
      <c r="D73" s="46">
        <f>IF(Tabelle1[[#This Row],[Winkel2]]=select!$A$2,1,0)</f>
        <v>0</v>
      </c>
      <c r="E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3" s="46">
        <f>IF(select!$E$16=IF(Tabelle1[[#This Row],[mit Dämpfung]]=1,1,IF(Tabelle1[[#This Row],[ohne Dämpfung]]=1,2,IF(Tabelle1[[#This Row],[ohne Feder]]=1,3,0))),1,0)</f>
        <v>1</v>
      </c>
      <c r="G73" s="46">
        <f>IF(Tabelle1[[#This Row],[Links]]=select!$I$2,1,0)</f>
        <v>0</v>
      </c>
      <c r="H73" s="46">
        <f>IF(IF(Tabelle1[[#This Row],[Anschrauben]]=1,1,IF(Tabelle1[[#This Row],[Einpressen]]=1,2,IF(Tabelle1[[#This Row],[Werkzeuglos]]=1,3,0)))=select!$E$7,1,0)</f>
        <v>0</v>
      </c>
      <c r="I73" s="46">
        <f ca="1">IF(Tabelle1[[#This Row],[Winkel]]+Tabelle1[[#This Row],[Kröpfung]]+Tabelle1[[#This Row],[Däpfung]]+Tabelle1[[#This Row],[Bohrbild]]+Tabelle1[[#This Row],[Scharnierbefestigung]]=5,1,0)</f>
        <v>0</v>
      </c>
      <c r="J73" t="str">
        <f ca="1">Sprache!$A$56</f>
        <v>TIOMOS hinge TS-Impresso</v>
      </c>
      <c r="K73" t="s">
        <v>143</v>
      </c>
      <c r="L73" t="s">
        <v>73</v>
      </c>
      <c r="M73">
        <v>9.5</v>
      </c>
      <c r="N73" t="s">
        <v>15</v>
      </c>
      <c r="O73">
        <v>120</v>
      </c>
      <c r="P73">
        <v>1</v>
      </c>
      <c r="Q73">
        <v>0</v>
      </c>
      <c r="R73">
        <v>0</v>
      </c>
      <c r="S73">
        <v>0</v>
      </c>
      <c r="T73">
        <v>0</v>
      </c>
      <c r="U73">
        <v>1</v>
      </c>
      <c r="V73" s="14" t="s">
        <v>142</v>
      </c>
    </row>
    <row r="74" spans="1:22" ht="14.25" customHeight="1" x14ac:dyDescent="0.25">
      <c r="A74" s="48" t="str">
        <f>LEFT(Tabelle1[[#This Row],[Artikel'#]],4)</f>
        <v>F017</v>
      </c>
      <c r="B74" s="46" t="str">
        <f>MID(Tabelle1[[#This Row],[Artikel'#]],5,3)</f>
        <v>139</v>
      </c>
      <c r="C74" s="48" t="str">
        <f>RIGHT(Tabelle1[[#This Row],[Artikel'#]],3)</f>
        <v>520</v>
      </c>
      <c r="D74" s="46">
        <f>IF(Tabelle1[[#This Row],[Winkel2]]=select!$A$2,1,0)</f>
        <v>0</v>
      </c>
      <c r="E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4" s="46">
        <f>IF(select!$E$16=IF(Tabelle1[[#This Row],[mit Dämpfung]]=1,1,IF(Tabelle1[[#This Row],[ohne Dämpfung]]=1,2,IF(Tabelle1[[#This Row],[ohne Feder]]=1,3,0))),1,0)</f>
        <v>1</v>
      </c>
      <c r="G74" s="46">
        <f>IF(Tabelle1[[#This Row],[Links]]=select!$I$2,1,0)</f>
        <v>0</v>
      </c>
      <c r="H74" s="46">
        <f>IF(IF(Tabelle1[[#This Row],[Anschrauben]]=1,1,IF(Tabelle1[[#This Row],[Einpressen]]=1,2,IF(Tabelle1[[#This Row],[Werkzeuglos]]=1,3,0)))=select!$E$7,1,0)</f>
        <v>0</v>
      </c>
      <c r="I74" s="46">
        <f ca="1">IF(Tabelle1[[#This Row],[Winkel]]+Tabelle1[[#This Row],[Kröpfung]]+Tabelle1[[#This Row],[Däpfung]]+Tabelle1[[#This Row],[Bohrbild]]+Tabelle1[[#This Row],[Scharnierbefestigung]]=5,1,0)</f>
        <v>0</v>
      </c>
      <c r="J74" t="str">
        <f ca="1">Sprache!$A$56</f>
        <v>TIOMOS hinge TS-Impresso</v>
      </c>
      <c r="K74" t="s">
        <v>145</v>
      </c>
      <c r="L74" t="s">
        <v>73</v>
      </c>
      <c r="M74">
        <v>0</v>
      </c>
      <c r="N74" s="13" t="s">
        <v>14</v>
      </c>
      <c r="O74">
        <v>160</v>
      </c>
      <c r="P74">
        <v>1</v>
      </c>
      <c r="Q74">
        <v>0</v>
      </c>
      <c r="R74">
        <v>0</v>
      </c>
      <c r="S74">
        <v>0</v>
      </c>
      <c r="T74">
        <v>0</v>
      </c>
      <c r="U74">
        <v>1</v>
      </c>
      <c r="V74" s="14" t="s">
        <v>144</v>
      </c>
    </row>
    <row r="75" spans="1:22" ht="14.25" customHeight="1" x14ac:dyDescent="0.25">
      <c r="A75" s="48" t="str">
        <f>LEFT(Tabelle1[[#This Row],[Artikel'#]],4)</f>
        <v>F017</v>
      </c>
      <c r="B75" s="46" t="str">
        <f>MID(Tabelle1[[#This Row],[Artikel'#]],5,3)</f>
        <v>139</v>
      </c>
      <c r="C75" s="48" t="str">
        <f>RIGHT(Tabelle1[[#This Row],[Artikel'#]],3)</f>
        <v>520</v>
      </c>
      <c r="D75" s="46">
        <f>IF(Tabelle1[[#This Row],[Winkel2]]=select!$A$2,1,0)</f>
        <v>0</v>
      </c>
      <c r="E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5" s="46">
        <f>IF(select!$E$16=IF(Tabelle1[[#This Row],[mit Dämpfung]]=1,1,IF(Tabelle1[[#This Row],[ohne Dämpfung]]=1,2,IF(Tabelle1[[#This Row],[ohne Feder]]=1,3,0))),1,0)</f>
        <v>1</v>
      </c>
      <c r="G75" s="46">
        <f>IF(Tabelle1[[#This Row],[Links]]=select!$I$2,1,0)</f>
        <v>0</v>
      </c>
      <c r="H75" s="46">
        <f>IF(IF(Tabelle1[[#This Row],[Anschrauben]]=1,1,IF(Tabelle1[[#This Row],[Einpressen]]=1,2,IF(Tabelle1[[#This Row],[Werkzeuglos]]=1,3,0)))=select!$E$7,1,0)</f>
        <v>0</v>
      </c>
      <c r="I75" s="46">
        <f ca="1">IF(Tabelle1[[#This Row],[Winkel]]+Tabelle1[[#This Row],[Kröpfung]]+Tabelle1[[#This Row],[Däpfung]]+Tabelle1[[#This Row],[Bohrbild]]+Tabelle1[[#This Row],[Scharnierbefestigung]]=5,1,0)</f>
        <v>0</v>
      </c>
      <c r="J75" t="str">
        <f ca="1">Sprache!$A$56</f>
        <v>TIOMOS hinge TS-Impresso</v>
      </c>
      <c r="K75" t="s">
        <v>145</v>
      </c>
      <c r="L75" t="s">
        <v>73</v>
      </c>
      <c r="M75">
        <v>0</v>
      </c>
      <c r="N75" s="13" t="s">
        <v>15</v>
      </c>
      <c r="O75">
        <v>160</v>
      </c>
      <c r="P75">
        <v>1</v>
      </c>
      <c r="Q75">
        <v>0</v>
      </c>
      <c r="R75">
        <v>0</v>
      </c>
      <c r="S75">
        <v>0</v>
      </c>
      <c r="T75">
        <v>0</v>
      </c>
      <c r="U75">
        <v>1</v>
      </c>
      <c r="V75" s="14" t="s">
        <v>144</v>
      </c>
    </row>
    <row r="76" spans="1:22" ht="14.25" customHeight="1" x14ac:dyDescent="0.25">
      <c r="A76" s="48" t="str">
        <f>LEFT(Tabelle1[[#This Row],[Artikel'#]],4)</f>
        <v>F017</v>
      </c>
      <c r="B76" s="46" t="str">
        <f>MID(Tabelle1[[#This Row],[Artikel'#]],5,3)</f>
        <v>139</v>
      </c>
      <c r="C76" s="48" t="str">
        <f>RIGHT(Tabelle1[[#This Row],[Artikel'#]],3)</f>
        <v>521</v>
      </c>
      <c r="D76" s="46">
        <f>IF(Tabelle1[[#This Row],[Winkel2]]=select!$A$2,1,0)</f>
        <v>0</v>
      </c>
      <c r="E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6" s="46">
        <f>IF(select!$E$16=IF(Tabelle1[[#This Row],[mit Dämpfung]]=1,1,IF(Tabelle1[[#This Row],[ohne Dämpfung]]=1,2,IF(Tabelle1[[#This Row],[ohne Feder]]=1,3,0))),1,0)</f>
        <v>1</v>
      </c>
      <c r="G76" s="46">
        <f>IF(Tabelle1[[#This Row],[Links]]=select!$I$2,1,0)</f>
        <v>0</v>
      </c>
      <c r="H76" s="46">
        <f>IF(IF(Tabelle1[[#This Row],[Anschrauben]]=1,1,IF(Tabelle1[[#This Row],[Einpressen]]=1,2,IF(Tabelle1[[#This Row],[Werkzeuglos]]=1,3,0)))=select!$E$7,1,0)</f>
        <v>0</v>
      </c>
      <c r="I76" s="46">
        <f ca="1">IF(Tabelle1[[#This Row],[Winkel]]+Tabelle1[[#This Row],[Kröpfung]]+Tabelle1[[#This Row],[Däpfung]]+Tabelle1[[#This Row],[Bohrbild]]+Tabelle1[[#This Row],[Scharnierbefestigung]]=5,1,0)</f>
        <v>0</v>
      </c>
      <c r="J76" t="str">
        <f ca="1">Sprache!$A$56</f>
        <v>TIOMOS hinge TS-Impresso</v>
      </c>
      <c r="K76" t="s">
        <v>147</v>
      </c>
      <c r="L76" t="s">
        <v>73</v>
      </c>
      <c r="M76">
        <v>3</v>
      </c>
      <c r="N76" t="s">
        <v>14</v>
      </c>
      <c r="O76">
        <v>160</v>
      </c>
      <c r="P76">
        <v>1</v>
      </c>
      <c r="Q76">
        <v>0</v>
      </c>
      <c r="R76">
        <v>0</v>
      </c>
      <c r="S76">
        <v>0</v>
      </c>
      <c r="T76">
        <v>0</v>
      </c>
      <c r="U76">
        <v>1</v>
      </c>
      <c r="V76" s="14" t="s">
        <v>146</v>
      </c>
    </row>
    <row r="77" spans="1:22" ht="14.25" customHeight="1" x14ac:dyDescent="0.25">
      <c r="A77" s="48" t="str">
        <f>LEFT(Tabelle1[[#This Row],[Artikel'#]],4)</f>
        <v>F017</v>
      </c>
      <c r="B77" s="46" t="str">
        <f>MID(Tabelle1[[#This Row],[Artikel'#]],5,3)</f>
        <v>139</v>
      </c>
      <c r="C77" s="48" t="str">
        <f>RIGHT(Tabelle1[[#This Row],[Artikel'#]],3)</f>
        <v>521</v>
      </c>
      <c r="D77" s="46">
        <f>IF(Tabelle1[[#This Row],[Winkel2]]=select!$A$2,1,0)</f>
        <v>0</v>
      </c>
      <c r="E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7" s="46">
        <f>IF(select!$E$16=IF(Tabelle1[[#This Row],[mit Dämpfung]]=1,1,IF(Tabelle1[[#This Row],[ohne Dämpfung]]=1,2,IF(Tabelle1[[#This Row],[ohne Feder]]=1,3,0))),1,0)</f>
        <v>1</v>
      </c>
      <c r="G77" s="46">
        <f>IF(Tabelle1[[#This Row],[Links]]=select!$I$2,1,0)</f>
        <v>0</v>
      </c>
      <c r="H77" s="46">
        <f>IF(IF(Tabelle1[[#This Row],[Anschrauben]]=1,1,IF(Tabelle1[[#This Row],[Einpressen]]=1,2,IF(Tabelle1[[#This Row],[Werkzeuglos]]=1,3,0)))=select!$E$7,1,0)</f>
        <v>0</v>
      </c>
      <c r="I77" s="46">
        <f ca="1">IF(Tabelle1[[#This Row],[Winkel]]+Tabelle1[[#This Row],[Kröpfung]]+Tabelle1[[#This Row],[Däpfung]]+Tabelle1[[#This Row],[Bohrbild]]+Tabelle1[[#This Row],[Scharnierbefestigung]]=5,1,0)</f>
        <v>0</v>
      </c>
      <c r="J77" t="str">
        <f ca="1">Sprache!$A$56</f>
        <v>TIOMOS hinge TS-Impresso</v>
      </c>
      <c r="K77" t="s">
        <v>147</v>
      </c>
      <c r="L77" t="s">
        <v>73</v>
      </c>
      <c r="M77">
        <v>3</v>
      </c>
      <c r="N77" t="s">
        <v>15</v>
      </c>
      <c r="O77">
        <v>160</v>
      </c>
      <c r="P77">
        <v>1</v>
      </c>
      <c r="Q77">
        <v>0</v>
      </c>
      <c r="R77">
        <v>0</v>
      </c>
      <c r="S77">
        <v>0</v>
      </c>
      <c r="T77">
        <v>0</v>
      </c>
      <c r="U77">
        <v>1</v>
      </c>
      <c r="V77" s="14" t="s">
        <v>146</v>
      </c>
    </row>
    <row r="78" spans="1:22" ht="14.25" customHeight="1" x14ac:dyDescent="0.25">
      <c r="A78" s="48" t="str">
        <f>LEFT(Tabelle1[[#This Row],[Artikel'#]],4)</f>
        <v>F017</v>
      </c>
      <c r="B78" s="46" t="str">
        <f>MID(Tabelle1[[#This Row],[Artikel'#]],5,3)</f>
        <v>139</v>
      </c>
      <c r="C78" s="48" t="str">
        <f>RIGHT(Tabelle1[[#This Row],[Artikel'#]],3)</f>
        <v>522</v>
      </c>
      <c r="D78" s="46">
        <f>IF(Tabelle1[[#This Row],[Winkel2]]=select!$A$2,1,0)</f>
        <v>0</v>
      </c>
      <c r="E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8" s="46">
        <f>IF(select!$E$16=IF(Tabelle1[[#This Row],[mit Dämpfung]]=1,1,IF(Tabelle1[[#This Row],[ohne Dämpfung]]=1,2,IF(Tabelle1[[#This Row],[ohne Feder]]=1,3,0))),1,0)</f>
        <v>1</v>
      </c>
      <c r="G78" s="46">
        <f>IF(Tabelle1[[#This Row],[Links]]=select!$I$2,1,0)</f>
        <v>0</v>
      </c>
      <c r="H78" s="46">
        <f>IF(IF(Tabelle1[[#This Row],[Anschrauben]]=1,1,IF(Tabelle1[[#This Row],[Einpressen]]=1,2,IF(Tabelle1[[#This Row],[Werkzeuglos]]=1,3,0)))=select!$E$7,1,0)</f>
        <v>0</v>
      </c>
      <c r="I78" s="46">
        <f ca="1">IF(Tabelle1[[#This Row],[Winkel]]+Tabelle1[[#This Row],[Kröpfung]]+Tabelle1[[#This Row],[Däpfung]]+Tabelle1[[#This Row],[Bohrbild]]+Tabelle1[[#This Row],[Scharnierbefestigung]]=5,1,0)</f>
        <v>0</v>
      </c>
      <c r="J78" t="str">
        <f ca="1">Sprache!$A$56</f>
        <v>TIOMOS hinge TS-Impresso</v>
      </c>
      <c r="K78" t="s">
        <v>149</v>
      </c>
      <c r="L78" t="s">
        <v>73</v>
      </c>
      <c r="M78">
        <v>9.5</v>
      </c>
      <c r="N78" t="s">
        <v>14</v>
      </c>
      <c r="O78">
        <v>160</v>
      </c>
      <c r="P78">
        <v>1</v>
      </c>
      <c r="Q78">
        <v>0</v>
      </c>
      <c r="R78">
        <v>0</v>
      </c>
      <c r="S78">
        <v>0</v>
      </c>
      <c r="T78">
        <v>0</v>
      </c>
      <c r="U78">
        <v>1</v>
      </c>
      <c r="V78" s="14" t="s">
        <v>148</v>
      </c>
    </row>
    <row r="79" spans="1:22" ht="14.25" customHeight="1" x14ac:dyDescent="0.25">
      <c r="A79" s="48" t="str">
        <f>LEFT(Tabelle1[[#This Row],[Artikel'#]],4)</f>
        <v>F017</v>
      </c>
      <c r="B79" s="46" t="str">
        <f>MID(Tabelle1[[#This Row],[Artikel'#]],5,3)</f>
        <v>139</v>
      </c>
      <c r="C79" s="48" t="str">
        <f>RIGHT(Tabelle1[[#This Row],[Artikel'#]],3)</f>
        <v>522</v>
      </c>
      <c r="D79" s="46">
        <f>IF(Tabelle1[[#This Row],[Winkel2]]=select!$A$2,1,0)</f>
        <v>0</v>
      </c>
      <c r="E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9" s="46">
        <f>IF(select!$E$16=IF(Tabelle1[[#This Row],[mit Dämpfung]]=1,1,IF(Tabelle1[[#This Row],[ohne Dämpfung]]=1,2,IF(Tabelle1[[#This Row],[ohne Feder]]=1,3,0))),1,0)</f>
        <v>1</v>
      </c>
      <c r="G79" s="46">
        <f>IF(Tabelle1[[#This Row],[Links]]=select!$I$2,1,0)</f>
        <v>0</v>
      </c>
      <c r="H79" s="46">
        <f>IF(IF(Tabelle1[[#This Row],[Anschrauben]]=1,1,IF(Tabelle1[[#This Row],[Einpressen]]=1,2,IF(Tabelle1[[#This Row],[Werkzeuglos]]=1,3,0)))=select!$E$7,1,0)</f>
        <v>0</v>
      </c>
      <c r="I79" s="46">
        <f ca="1">IF(Tabelle1[[#This Row],[Winkel]]+Tabelle1[[#This Row],[Kröpfung]]+Tabelle1[[#This Row],[Däpfung]]+Tabelle1[[#This Row],[Bohrbild]]+Tabelle1[[#This Row],[Scharnierbefestigung]]=5,1,0)</f>
        <v>0</v>
      </c>
      <c r="J79" t="str">
        <f ca="1">Sprache!$A$56</f>
        <v>TIOMOS hinge TS-Impresso</v>
      </c>
      <c r="K79" t="s">
        <v>149</v>
      </c>
      <c r="L79" t="s">
        <v>73</v>
      </c>
      <c r="M79">
        <v>9.5</v>
      </c>
      <c r="N79" t="s">
        <v>15</v>
      </c>
      <c r="O79">
        <v>160</v>
      </c>
      <c r="P79">
        <v>1</v>
      </c>
      <c r="Q79">
        <v>0</v>
      </c>
      <c r="R79">
        <v>0</v>
      </c>
      <c r="S79">
        <v>0</v>
      </c>
      <c r="T79">
        <v>0</v>
      </c>
      <c r="U79">
        <v>1</v>
      </c>
      <c r="V79" s="14" t="s">
        <v>148</v>
      </c>
    </row>
    <row r="80" spans="1:22" ht="14.25" customHeight="1" x14ac:dyDescent="0.25">
      <c r="A80" s="48" t="str">
        <f>LEFT(Tabelle1[[#This Row],[Artikel'#]],4)</f>
        <v>F017</v>
      </c>
      <c r="B80" s="46" t="str">
        <f>MID(Tabelle1[[#This Row],[Artikel'#]],5,3)</f>
        <v>139</v>
      </c>
      <c r="C80" s="48" t="str">
        <f>RIGHT(Tabelle1[[#This Row],[Artikel'#]],3)</f>
        <v>523</v>
      </c>
      <c r="D80" s="46">
        <f>IF(Tabelle1[[#This Row],[Winkel2]]=select!$A$2,1,0)</f>
        <v>0</v>
      </c>
      <c r="E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0" s="46">
        <f>IF(select!$E$16=IF(Tabelle1[[#This Row],[mit Dämpfung]]=1,1,IF(Tabelle1[[#This Row],[ohne Dämpfung]]=1,2,IF(Tabelle1[[#This Row],[ohne Feder]]=1,3,0))),1,0)</f>
        <v>1</v>
      </c>
      <c r="G80" s="46">
        <f>IF(Tabelle1[[#This Row],[Links]]=select!$I$2,1,0)</f>
        <v>0</v>
      </c>
      <c r="H80" s="46">
        <f>IF(IF(Tabelle1[[#This Row],[Anschrauben]]=1,1,IF(Tabelle1[[#This Row],[Einpressen]]=1,2,IF(Tabelle1[[#This Row],[Werkzeuglos]]=1,3,0)))=select!$E$7,1,0)</f>
        <v>0</v>
      </c>
      <c r="I80" s="46">
        <f ca="1">IF(Tabelle1[[#This Row],[Winkel]]+Tabelle1[[#This Row],[Kröpfung]]+Tabelle1[[#This Row],[Däpfung]]+Tabelle1[[#This Row],[Bohrbild]]+Tabelle1[[#This Row],[Scharnierbefestigung]]=5,1,0)</f>
        <v>0</v>
      </c>
      <c r="J80" t="str">
        <f ca="1">Sprache!$A$56</f>
        <v>TIOMOS hinge TS-Impresso</v>
      </c>
      <c r="K80" t="s">
        <v>151</v>
      </c>
      <c r="L80" t="s">
        <v>73</v>
      </c>
      <c r="M80">
        <v>0</v>
      </c>
      <c r="N80" t="s">
        <v>14</v>
      </c>
      <c r="O80">
        <v>95</v>
      </c>
      <c r="P80">
        <v>1</v>
      </c>
      <c r="Q80">
        <v>0</v>
      </c>
      <c r="R80">
        <v>0</v>
      </c>
      <c r="S80">
        <v>0</v>
      </c>
      <c r="T80">
        <v>0</v>
      </c>
      <c r="U80">
        <v>1</v>
      </c>
      <c r="V80" s="14" t="s">
        <v>150</v>
      </c>
    </row>
    <row r="81" spans="1:22" ht="14.25" customHeight="1" x14ac:dyDescent="0.25">
      <c r="A81" s="48" t="str">
        <f>LEFT(Tabelle1[[#This Row],[Artikel'#]],4)</f>
        <v>F017</v>
      </c>
      <c r="B81" s="46" t="str">
        <f>MID(Tabelle1[[#This Row],[Artikel'#]],5,3)</f>
        <v>139</v>
      </c>
      <c r="C81" s="48" t="str">
        <f>RIGHT(Tabelle1[[#This Row],[Artikel'#]],3)</f>
        <v>523</v>
      </c>
      <c r="D81" s="46">
        <f>IF(Tabelle1[[#This Row],[Winkel2]]=select!$A$2,1,0)</f>
        <v>0</v>
      </c>
      <c r="E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1" s="46">
        <f>IF(select!$E$16=IF(Tabelle1[[#This Row],[mit Dämpfung]]=1,1,IF(Tabelle1[[#This Row],[ohne Dämpfung]]=1,2,IF(Tabelle1[[#This Row],[ohne Feder]]=1,3,0))),1,0)</f>
        <v>1</v>
      </c>
      <c r="G81" s="46">
        <f>IF(Tabelle1[[#This Row],[Links]]=select!$I$2,1,0)</f>
        <v>0</v>
      </c>
      <c r="H81" s="46">
        <f>IF(IF(Tabelle1[[#This Row],[Anschrauben]]=1,1,IF(Tabelle1[[#This Row],[Einpressen]]=1,2,IF(Tabelle1[[#This Row],[Werkzeuglos]]=1,3,0)))=select!$E$7,1,0)</f>
        <v>0</v>
      </c>
      <c r="I81" s="46">
        <f ca="1">IF(Tabelle1[[#This Row],[Winkel]]+Tabelle1[[#This Row],[Kröpfung]]+Tabelle1[[#This Row],[Däpfung]]+Tabelle1[[#This Row],[Bohrbild]]+Tabelle1[[#This Row],[Scharnierbefestigung]]=5,1,0)</f>
        <v>0</v>
      </c>
      <c r="J81" t="str">
        <f ca="1">Sprache!$A$56</f>
        <v>TIOMOS hinge TS-Impresso</v>
      </c>
      <c r="K81" t="s">
        <v>151</v>
      </c>
      <c r="L81" t="s">
        <v>73</v>
      </c>
      <c r="M81">
        <v>0</v>
      </c>
      <c r="N81" t="s">
        <v>15</v>
      </c>
      <c r="O81">
        <v>95</v>
      </c>
      <c r="P81">
        <v>1</v>
      </c>
      <c r="Q81">
        <v>0</v>
      </c>
      <c r="R81">
        <v>0</v>
      </c>
      <c r="S81">
        <v>0</v>
      </c>
      <c r="T81">
        <v>0</v>
      </c>
      <c r="U81">
        <v>1</v>
      </c>
      <c r="V81" s="14" t="s">
        <v>150</v>
      </c>
    </row>
    <row r="82" spans="1:22" ht="14.25" customHeight="1" x14ac:dyDescent="0.25">
      <c r="A82" s="48" t="str">
        <f>LEFT(Tabelle1[[#This Row],[Artikel'#]],4)</f>
        <v>F017</v>
      </c>
      <c r="B82" s="46" t="str">
        <f>MID(Tabelle1[[#This Row],[Artikel'#]],5,3)</f>
        <v>139</v>
      </c>
      <c r="C82" s="48" t="str">
        <f>RIGHT(Tabelle1[[#This Row],[Artikel'#]],3)</f>
        <v>524</v>
      </c>
      <c r="D82" s="46">
        <f>IF(Tabelle1[[#This Row],[Winkel2]]=select!$A$2,1,0)</f>
        <v>0</v>
      </c>
      <c r="E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2" s="46">
        <f>IF(select!$E$16=IF(Tabelle1[[#This Row],[mit Dämpfung]]=1,1,IF(Tabelle1[[#This Row],[ohne Dämpfung]]=1,2,IF(Tabelle1[[#This Row],[ohne Feder]]=1,3,0))),1,0)</f>
        <v>1</v>
      </c>
      <c r="G82" s="46">
        <f>IF(Tabelle1[[#This Row],[Links]]=select!$I$2,1,0)</f>
        <v>0</v>
      </c>
      <c r="H82" s="46">
        <f>IF(IF(Tabelle1[[#This Row],[Anschrauben]]=1,1,IF(Tabelle1[[#This Row],[Einpressen]]=1,2,IF(Tabelle1[[#This Row],[Werkzeuglos]]=1,3,0)))=select!$E$7,1,0)</f>
        <v>0</v>
      </c>
      <c r="I82" s="46">
        <f ca="1">IF(Tabelle1[[#This Row],[Winkel]]+Tabelle1[[#This Row],[Kröpfung]]+Tabelle1[[#This Row],[Däpfung]]+Tabelle1[[#This Row],[Bohrbild]]+Tabelle1[[#This Row],[Scharnierbefestigung]]=5,1,0)</f>
        <v>0</v>
      </c>
      <c r="J82" t="str">
        <f ca="1">Sprache!$A$56</f>
        <v>TIOMOS hinge TS-Impresso</v>
      </c>
      <c r="K82" t="s">
        <v>153</v>
      </c>
      <c r="L82" t="s">
        <v>73</v>
      </c>
      <c r="M82">
        <v>3</v>
      </c>
      <c r="N82" t="s">
        <v>14</v>
      </c>
      <c r="O82">
        <v>95</v>
      </c>
      <c r="P82">
        <v>1</v>
      </c>
      <c r="Q82">
        <v>0</v>
      </c>
      <c r="R82">
        <v>0</v>
      </c>
      <c r="S82">
        <v>0</v>
      </c>
      <c r="T82">
        <v>0</v>
      </c>
      <c r="U82">
        <v>1</v>
      </c>
      <c r="V82" s="14" t="s">
        <v>152</v>
      </c>
    </row>
    <row r="83" spans="1:22" ht="14.25" customHeight="1" x14ac:dyDescent="0.25">
      <c r="A83" s="48" t="str">
        <f>LEFT(Tabelle1[[#This Row],[Artikel'#]],4)</f>
        <v>F017</v>
      </c>
      <c r="B83" s="46" t="str">
        <f>MID(Tabelle1[[#This Row],[Artikel'#]],5,3)</f>
        <v>139</v>
      </c>
      <c r="C83" s="48" t="str">
        <f>RIGHT(Tabelle1[[#This Row],[Artikel'#]],3)</f>
        <v>524</v>
      </c>
      <c r="D83" s="46">
        <f>IF(Tabelle1[[#This Row],[Winkel2]]=select!$A$2,1,0)</f>
        <v>0</v>
      </c>
      <c r="E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3" s="46">
        <f>IF(select!$E$16=IF(Tabelle1[[#This Row],[mit Dämpfung]]=1,1,IF(Tabelle1[[#This Row],[ohne Dämpfung]]=1,2,IF(Tabelle1[[#This Row],[ohne Feder]]=1,3,0))),1,0)</f>
        <v>1</v>
      </c>
      <c r="G83" s="46">
        <f>IF(Tabelle1[[#This Row],[Links]]=select!$I$2,1,0)</f>
        <v>0</v>
      </c>
      <c r="H83" s="46">
        <f>IF(IF(Tabelle1[[#This Row],[Anschrauben]]=1,1,IF(Tabelle1[[#This Row],[Einpressen]]=1,2,IF(Tabelle1[[#This Row],[Werkzeuglos]]=1,3,0)))=select!$E$7,1,0)</f>
        <v>0</v>
      </c>
      <c r="I83" s="46">
        <f ca="1">IF(Tabelle1[[#This Row],[Winkel]]+Tabelle1[[#This Row],[Kröpfung]]+Tabelle1[[#This Row],[Däpfung]]+Tabelle1[[#This Row],[Bohrbild]]+Tabelle1[[#This Row],[Scharnierbefestigung]]=5,1,0)</f>
        <v>0</v>
      </c>
      <c r="J83" t="str">
        <f ca="1">Sprache!$A$56</f>
        <v>TIOMOS hinge TS-Impresso</v>
      </c>
      <c r="K83" t="s">
        <v>153</v>
      </c>
      <c r="L83" t="s">
        <v>73</v>
      </c>
      <c r="M83">
        <v>3</v>
      </c>
      <c r="N83" t="s">
        <v>15</v>
      </c>
      <c r="O83">
        <v>95</v>
      </c>
      <c r="P83">
        <v>1</v>
      </c>
      <c r="Q83">
        <v>0</v>
      </c>
      <c r="R83">
        <v>0</v>
      </c>
      <c r="S83">
        <v>0</v>
      </c>
      <c r="T83">
        <v>0</v>
      </c>
      <c r="U83">
        <v>1</v>
      </c>
      <c r="V83" s="14" t="s">
        <v>152</v>
      </c>
    </row>
    <row r="84" spans="1:22" ht="14.25" customHeight="1" x14ac:dyDescent="0.25">
      <c r="A84" s="48" t="str">
        <f>LEFT(Tabelle1[[#This Row],[Artikel'#]],4)</f>
        <v>F017</v>
      </c>
      <c r="B84" s="46" t="str">
        <f>MID(Tabelle1[[#This Row],[Artikel'#]],5,3)</f>
        <v>139</v>
      </c>
      <c r="C84" s="48" t="str">
        <f>RIGHT(Tabelle1[[#This Row],[Artikel'#]],3)</f>
        <v>525</v>
      </c>
      <c r="D84" s="46">
        <f>IF(Tabelle1[[#This Row],[Winkel2]]=select!$A$2,1,0)</f>
        <v>0</v>
      </c>
      <c r="E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84" s="46">
        <f>IF(select!$E$16=IF(Tabelle1[[#This Row],[mit Dämpfung]]=1,1,IF(Tabelle1[[#This Row],[ohne Dämpfung]]=1,2,IF(Tabelle1[[#This Row],[ohne Feder]]=1,3,0))),1,0)</f>
        <v>1</v>
      </c>
      <c r="G84" s="46">
        <f>IF(Tabelle1[[#This Row],[Links]]=select!$I$2,1,0)</f>
        <v>0</v>
      </c>
      <c r="H84" s="46">
        <f>IF(IF(Tabelle1[[#This Row],[Anschrauben]]=1,1,IF(Tabelle1[[#This Row],[Einpressen]]=1,2,IF(Tabelle1[[#This Row],[Werkzeuglos]]=1,3,0)))=select!$E$7,1,0)</f>
        <v>0</v>
      </c>
      <c r="I84" s="46">
        <f ca="1">IF(Tabelle1[[#This Row],[Winkel]]+Tabelle1[[#This Row],[Kröpfung]]+Tabelle1[[#This Row],[Däpfung]]+Tabelle1[[#This Row],[Bohrbild]]+Tabelle1[[#This Row],[Scharnierbefestigung]]=5,1,0)</f>
        <v>0</v>
      </c>
      <c r="J84" t="str">
        <f ca="1">Sprache!$A$56</f>
        <v>TIOMOS hinge TS-Impresso</v>
      </c>
      <c r="K84" t="s">
        <v>155</v>
      </c>
      <c r="L84" t="s">
        <v>73</v>
      </c>
      <c r="M84">
        <v>9.5</v>
      </c>
      <c r="N84" t="s">
        <v>14</v>
      </c>
      <c r="O84">
        <v>95</v>
      </c>
      <c r="P84">
        <v>1</v>
      </c>
      <c r="Q84">
        <v>0</v>
      </c>
      <c r="R84">
        <v>0</v>
      </c>
      <c r="S84">
        <v>0</v>
      </c>
      <c r="T84">
        <v>0</v>
      </c>
      <c r="U84">
        <v>1</v>
      </c>
      <c r="V84" s="14" t="s">
        <v>154</v>
      </c>
    </row>
    <row r="85" spans="1:22" ht="14.25" customHeight="1" x14ac:dyDescent="0.25">
      <c r="A85" s="48" t="str">
        <f>LEFT(Tabelle1[[#This Row],[Artikel'#]],4)</f>
        <v>F017</v>
      </c>
      <c r="B85" s="46" t="str">
        <f>MID(Tabelle1[[#This Row],[Artikel'#]],5,3)</f>
        <v>139</v>
      </c>
      <c r="C85" s="48" t="str">
        <f>RIGHT(Tabelle1[[#This Row],[Artikel'#]],3)</f>
        <v>525</v>
      </c>
      <c r="D85" s="46">
        <f>IF(Tabelle1[[#This Row],[Winkel2]]=select!$A$2,1,0)</f>
        <v>0</v>
      </c>
      <c r="E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85" s="46">
        <f>IF(select!$E$16=IF(Tabelle1[[#This Row],[mit Dämpfung]]=1,1,IF(Tabelle1[[#This Row],[ohne Dämpfung]]=1,2,IF(Tabelle1[[#This Row],[ohne Feder]]=1,3,0))),1,0)</f>
        <v>1</v>
      </c>
      <c r="G85" s="46">
        <f>IF(Tabelle1[[#This Row],[Links]]=select!$I$2,1,0)</f>
        <v>0</v>
      </c>
      <c r="H85" s="46">
        <f>IF(IF(Tabelle1[[#This Row],[Anschrauben]]=1,1,IF(Tabelle1[[#This Row],[Einpressen]]=1,2,IF(Tabelle1[[#This Row],[Werkzeuglos]]=1,3,0)))=select!$E$7,1,0)</f>
        <v>0</v>
      </c>
      <c r="I85" s="46">
        <f ca="1">IF(Tabelle1[[#This Row],[Winkel]]+Tabelle1[[#This Row],[Kröpfung]]+Tabelle1[[#This Row],[Däpfung]]+Tabelle1[[#This Row],[Bohrbild]]+Tabelle1[[#This Row],[Scharnierbefestigung]]=5,1,0)</f>
        <v>0</v>
      </c>
      <c r="J85" t="str">
        <f ca="1">Sprache!$A$56</f>
        <v>TIOMOS hinge TS-Impresso</v>
      </c>
      <c r="K85" t="s">
        <v>155</v>
      </c>
      <c r="L85" t="s">
        <v>73</v>
      </c>
      <c r="M85">
        <v>9.5</v>
      </c>
      <c r="N85" t="s">
        <v>15</v>
      </c>
      <c r="O85">
        <v>95</v>
      </c>
      <c r="P85">
        <v>1</v>
      </c>
      <c r="Q85">
        <v>0</v>
      </c>
      <c r="R85">
        <v>0</v>
      </c>
      <c r="S85">
        <v>0</v>
      </c>
      <c r="T85">
        <v>0</v>
      </c>
      <c r="U85">
        <v>1</v>
      </c>
      <c r="V85" s="14" t="s">
        <v>154</v>
      </c>
    </row>
    <row r="86" spans="1:22" ht="14.25" customHeight="1" x14ac:dyDescent="0.25">
      <c r="A86" s="48" t="str">
        <f>LEFT(Tabelle1[[#This Row],[Artikel'#]],4)</f>
        <v>F017</v>
      </c>
      <c r="B86" s="46" t="str">
        <f>MID(Tabelle1[[#This Row],[Artikel'#]],5,3)</f>
        <v>139</v>
      </c>
      <c r="C86" s="48" t="str">
        <f>RIGHT(Tabelle1[[#This Row],[Artikel'#]],3)</f>
        <v>526</v>
      </c>
      <c r="D86" s="46">
        <f>IF(Tabelle1[[#This Row],[Winkel2]]=select!$A$2,1,0)</f>
        <v>0</v>
      </c>
      <c r="E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6" s="46">
        <f>IF(select!$E$16=IF(Tabelle1[[#This Row],[mit Dämpfung]]=1,1,IF(Tabelle1[[#This Row],[ohne Dämpfung]]=1,2,IF(Tabelle1[[#This Row],[ohne Feder]]=1,3,0))),1,0)</f>
        <v>1</v>
      </c>
      <c r="G86" s="46">
        <f>IF(Tabelle1[[#This Row],[Links]]=select!$I$2,1,0)</f>
        <v>0</v>
      </c>
      <c r="H86" s="46">
        <f>IF(IF(Tabelle1[[#This Row],[Anschrauben]]=1,1,IF(Tabelle1[[#This Row],[Einpressen]]=1,2,IF(Tabelle1[[#This Row],[Werkzeuglos]]=1,3,0)))=select!$E$7,1,0)</f>
        <v>0</v>
      </c>
      <c r="I86" s="46">
        <f ca="1">IF(Tabelle1[[#This Row],[Winkel]]+Tabelle1[[#This Row],[Kröpfung]]+Tabelle1[[#This Row],[Däpfung]]+Tabelle1[[#This Row],[Bohrbild]]+Tabelle1[[#This Row],[Scharnierbefestigung]]=5,1,0)</f>
        <v>0</v>
      </c>
      <c r="J86" t="str">
        <f ca="1">Sprache!$A$56</f>
        <v>TIOMOS hinge TS-Impresso</v>
      </c>
      <c r="K86" t="s">
        <v>157</v>
      </c>
      <c r="L86" t="s">
        <v>73</v>
      </c>
      <c r="M86">
        <v>19</v>
      </c>
      <c r="N86" t="s">
        <v>14</v>
      </c>
      <c r="O86">
        <v>95</v>
      </c>
      <c r="P86">
        <v>1</v>
      </c>
      <c r="Q86">
        <v>0</v>
      </c>
      <c r="R86">
        <v>0</v>
      </c>
      <c r="S86">
        <v>0</v>
      </c>
      <c r="T86">
        <v>0</v>
      </c>
      <c r="U86">
        <v>1</v>
      </c>
      <c r="V86" s="14" t="s">
        <v>156</v>
      </c>
    </row>
    <row r="87" spans="1:22" ht="14.25" customHeight="1" x14ac:dyDescent="0.25">
      <c r="A87" s="48" t="str">
        <f>LEFT(Tabelle1[[#This Row],[Artikel'#]],4)</f>
        <v>F017</v>
      </c>
      <c r="B87" s="46" t="str">
        <f>MID(Tabelle1[[#This Row],[Artikel'#]],5,3)</f>
        <v>139</v>
      </c>
      <c r="C87" s="48" t="str">
        <f>RIGHT(Tabelle1[[#This Row],[Artikel'#]],3)</f>
        <v>526</v>
      </c>
      <c r="D87" s="46">
        <f>IF(Tabelle1[[#This Row],[Winkel2]]=select!$A$2,1,0)</f>
        <v>0</v>
      </c>
      <c r="E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7" s="46">
        <f>IF(select!$E$16=IF(Tabelle1[[#This Row],[mit Dämpfung]]=1,1,IF(Tabelle1[[#This Row],[ohne Dämpfung]]=1,2,IF(Tabelle1[[#This Row],[ohne Feder]]=1,3,0))),1,0)</f>
        <v>1</v>
      </c>
      <c r="G87" s="46">
        <f>IF(Tabelle1[[#This Row],[Links]]=select!$I$2,1,0)</f>
        <v>0</v>
      </c>
      <c r="H87" s="46">
        <f>IF(IF(Tabelle1[[#This Row],[Anschrauben]]=1,1,IF(Tabelle1[[#This Row],[Einpressen]]=1,2,IF(Tabelle1[[#This Row],[Werkzeuglos]]=1,3,0)))=select!$E$7,1,0)</f>
        <v>0</v>
      </c>
      <c r="I87" s="46">
        <f ca="1">IF(Tabelle1[[#This Row],[Winkel]]+Tabelle1[[#This Row],[Kröpfung]]+Tabelle1[[#This Row],[Däpfung]]+Tabelle1[[#This Row],[Bohrbild]]+Tabelle1[[#This Row],[Scharnierbefestigung]]=5,1,0)</f>
        <v>0</v>
      </c>
      <c r="J87" t="str">
        <f ca="1">Sprache!$A$56</f>
        <v>TIOMOS hinge TS-Impresso</v>
      </c>
      <c r="K87" t="s">
        <v>157</v>
      </c>
      <c r="L87" t="s">
        <v>73</v>
      </c>
      <c r="M87">
        <v>19</v>
      </c>
      <c r="N87" t="s">
        <v>15</v>
      </c>
      <c r="O87">
        <v>95</v>
      </c>
      <c r="P87">
        <v>1</v>
      </c>
      <c r="Q87">
        <v>0</v>
      </c>
      <c r="R87">
        <v>0</v>
      </c>
      <c r="S87">
        <v>0</v>
      </c>
      <c r="T87">
        <v>0</v>
      </c>
      <c r="U87">
        <v>1</v>
      </c>
      <c r="V87" s="14" t="s">
        <v>156</v>
      </c>
    </row>
    <row r="88" spans="1:22" ht="14.25" customHeight="1" x14ac:dyDescent="0.25">
      <c r="A88" s="48" t="str">
        <f>LEFT(Tabelle1[[#This Row],[Artikel'#]],4)</f>
        <v>F017</v>
      </c>
      <c r="B88" s="46" t="str">
        <f>MID(Tabelle1[[#This Row],[Artikel'#]],5,3)</f>
        <v>139</v>
      </c>
      <c r="C88" s="48" t="str">
        <f>RIGHT(Tabelle1[[#This Row],[Artikel'#]],3)</f>
        <v>555</v>
      </c>
      <c r="D88" s="46">
        <f>IF(Tabelle1[[#This Row],[Winkel2]]=select!$A$2,1,0)</f>
        <v>0</v>
      </c>
      <c r="E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8" s="46">
        <f>IF(select!$E$16=IF(Tabelle1[[#This Row],[mit Dämpfung]]=1,1,IF(Tabelle1[[#This Row],[ohne Dämpfung]]=1,2,IF(Tabelle1[[#This Row],[ohne Feder]]=1,3,0))),1,0)</f>
        <v>1</v>
      </c>
      <c r="G88" s="46">
        <f>IF(Tabelle1[[#This Row],[Links]]=select!$I$2,1,0)</f>
        <v>0</v>
      </c>
      <c r="H88" s="46">
        <f>IF(IF(Tabelle1[[#This Row],[Anschrauben]]=1,1,IF(Tabelle1[[#This Row],[Einpressen]]=1,2,IF(Tabelle1[[#This Row],[Werkzeuglos]]=1,3,0)))=select!$E$7,1,0)</f>
        <v>0</v>
      </c>
      <c r="I88" s="46">
        <f ca="1">IF(Tabelle1[[#This Row],[Winkel]]+Tabelle1[[#This Row],[Kröpfung]]+Tabelle1[[#This Row],[Däpfung]]+Tabelle1[[#This Row],[Bohrbild]]+Tabelle1[[#This Row],[Scharnierbefestigung]]=5,1,0)</f>
        <v>0</v>
      </c>
      <c r="J88" t="str">
        <f ca="1">Sprache!$A$56</f>
        <v>TIOMOS hinge TS-Impresso</v>
      </c>
      <c r="K88" t="s">
        <v>159</v>
      </c>
      <c r="L88" t="s">
        <v>73</v>
      </c>
      <c r="M88">
        <v>19</v>
      </c>
      <c r="N88" t="s">
        <v>14</v>
      </c>
      <c r="O88">
        <v>120</v>
      </c>
      <c r="P88">
        <v>1</v>
      </c>
      <c r="Q88">
        <v>0</v>
      </c>
      <c r="R88">
        <v>0</v>
      </c>
      <c r="S88">
        <v>0</v>
      </c>
      <c r="T88">
        <v>0</v>
      </c>
      <c r="U88">
        <v>1</v>
      </c>
      <c r="V88" s="14" t="s">
        <v>158</v>
      </c>
    </row>
    <row r="89" spans="1:22" ht="14.25" customHeight="1" x14ac:dyDescent="0.25">
      <c r="A89" s="48" t="str">
        <f>LEFT(Tabelle1[[#This Row],[Artikel'#]],4)</f>
        <v>F017</v>
      </c>
      <c r="B89" s="46" t="str">
        <f>MID(Tabelle1[[#This Row],[Artikel'#]],5,3)</f>
        <v>139</v>
      </c>
      <c r="C89" s="48" t="str">
        <f>RIGHT(Tabelle1[[#This Row],[Artikel'#]],3)</f>
        <v>555</v>
      </c>
      <c r="D89" s="46">
        <f>IF(Tabelle1[[#This Row],[Winkel2]]=select!$A$2,1,0)</f>
        <v>0</v>
      </c>
      <c r="E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89" s="46">
        <f>IF(select!$E$16=IF(Tabelle1[[#This Row],[mit Dämpfung]]=1,1,IF(Tabelle1[[#This Row],[ohne Dämpfung]]=1,2,IF(Tabelle1[[#This Row],[ohne Feder]]=1,3,0))),1,0)</f>
        <v>1</v>
      </c>
      <c r="G89" s="46">
        <f>IF(Tabelle1[[#This Row],[Links]]=select!$I$2,1,0)</f>
        <v>0</v>
      </c>
      <c r="H89" s="46">
        <f>IF(IF(Tabelle1[[#This Row],[Anschrauben]]=1,1,IF(Tabelle1[[#This Row],[Einpressen]]=1,2,IF(Tabelle1[[#This Row],[Werkzeuglos]]=1,3,0)))=select!$E$7,1,0)</f>
        <v>0</v>
      </c>
      <c r="I89" s="46">
        <f ca="1">IF(Tabelle1[[#This Row],[Winkel]]+Tabelle1[[#This Row],[Kröpfung]]+Tabelle1[[#This Row],[Däpfung]]+Tabelle1[[#This Row],[Bohrbild]]+Tabelle1[[#This Row],[Scharnierbefestigung]]=5,1,0)</f>
        <v>0</v>
      </c>
      <c r="J89" t="str">
        <f ca="1">Sprache!$A$56</f>
        <v>TIOMOS hinge TS-Impresso</v>
      </c>
      <c r="K89" t="s">
        <v>159</v>
      </c>
      <c r="L89" t="s">
        <v>73</v>
      </c>
      <c r="M89">
        <v>19</v>
      </c>
      <c r="N89" t="s">
        <v>15</v>
      </c>
      <c r="O89">
        <v>120</v>
      </c>
      <c r="P89">
        <v>1</v>
      </c>
      <c r="Q89">
        <v>0</v>
      </c>
      <c r="R89">
        <v>0</v>
      </c>
      <c r="S89">
        <v>0</v>
      </c>
      <c r="T89">
        <v>0</v>
      </c>
      <c r="U89">
        <v>1</v>
      </c>
      <c r="V89" s="14" t="s">
        <v>158</v>
      </c>
    </row>
    <row r="90" spans="1:22" ht="14.25" customHeight="1" x14ac:dyDescent="0.25">
      <c r="A90" s="48" t="str">
        <f>LEFT(Tabelle1[[#This Row],[Artikel'#]],4)</f>
        <v>F017</v>
      </c>
      <c r="B90" s="46" t="str">
        <f>MID(Tabelle1[[#This Row],[Artikel'#]],5,3)</f>
        <v>139</v>
      </c>
      <c r="C90" s="48" t="str">
        <f>RIGHT(Tabelle1[[#This Row],[Artikel'#]],3)</f>
        <v>558</v>
      </c>
      <c r="D90" s="46">
        <f>IF(Tabelle1[[#This Row],[Winkel2]]=select!$A$2,1,0)</f>
        <v>0</v>
      </c>
      <c r="E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0" s="46">
        <f>IF(select!$E$16=IF(Tabelle1[[#This Row],[mit Dämpfung]]=1,1,IF(Tabelle1[[#This Row],[ohne Dämpfung]]=1,2,IF(Tabelle1[[#This Row],[ohne Feder]]=1,3,0))),1,0)</f>
        <v>1</v>
      </c>
      <c r="G90" s="46">
        <f>IF(Tabelle1[[#This Row],[Links]]=select!$I$2,1,0)</f>
        <v>0</v>
      </c>
      <c r="H90" s="46">
        <f>IF(IF(Tabelle1[[#This Row],[Anschrauben]]=1,1,IF(Tabelle1[[#This Row],[Einpressen]]=1,2,IF(Tabelle1[[#This Row],[Werkzeuglos]]=1,3,0)))=select!$E$7,1,0)</f>
        <v>0</v>
      </c>
      <c r="I90" s="46">
        <f ca="1">IF(Tabelle1[[#This Row],[Winkel]]+Tabelle1[[#This Row],[Kröpfung]]+Tabelle1[[#This Row],[Däpfung]]+Tabelle1[[#This Row],[Bohrbild]]+Tabelle1[[#This Row],[Scharnierbefestigung]]=5,1,0)</f>
        <v>0</v>
      </c>
      <c r="J90" t="str">
        <f ca="1">Sprache!$A$56</f>
        <v>TIOMOS hinge TS-Impresso</v>
      </c>
      <c r="K90" t="s">
        <v>161</v>
      </c>
      <c r="L90" t="s">
        <v>73</v>
      </c>
      <c r="M90">
        <v>19</v>
      </c>
      <c r="N90" t="s">
        <v>13</v>
      </c>
      <c r="O90">
        <v>120</v>
      </c>
      <c r="P90">
        <v>1</v>
      </c>
      <c r="Q90">
        <v>0</v>
      </c>
      <c r="R90">
        <v>0</v>
      </c>
      <c r="S90">
        <v>0</v>
      </c>
      <c r="T90">
        <v>0</v>
      </c>
      <c r="U90">
        <v>1</v>
      </c>
      <c r="V90" s="14" t="s">
        <v>160</v>
      </c>
    </row>
    <row r="91" spans="1:22" ht="14.25" customHeight="1" x14ac:dyDescent="0.25">
      <c r="A91" s="48" t="str">
        <f>LEFT(Tabelle1[[#This Row],[Artikel'#]],4)</f>
        <v>F017</v>
      </c>
      <c r="B91" s="46" t="str">
        <f>MID(Tabelle1[[#This Row],[Artikel'#]],5,3)</f>
        <v>139</v>
      </c>
      <c r="C91" s="48" t="str">
        <f>RIGHT(Tabelle1[[#This Row],[Artikel'#]],3)</f>
        <v>558</v>
      </c>
      <c r="D91" s="46">
        <f>IF(Tabelle1[[#This Row],[Winkel2]]=select!$A$2,1,0)</f>
        <v>0</v>
      </c>
      <c r="E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1" s="46">
        <f>IF(select!$E$16=IF(Tabelle1[[#This Row],[mit Dämpfung]]=1,1,IF(Tabelle1[[#This Row],[ohne Dämpfung]]=1,2,IF(Tabelle1[[#This Row],[ohne Feder]]=1,3,0))),1,0)</f>
        <v>1</v>
      </c>
      <c r="G91" s="46">
        <f>IF(Tabelle1[[#This Row],[Links]]=select!$I$2,1,0)</f>
        <v>1</v>
      </c>
      <c r="H91" s="46">
        <f>IF(IF(Tabelle1[[#This Row],[Anschrauben]]=1,1,IF(Tabelle1[[#This Row],[Einpressen]]=1,2,IF(Tabelle1[[#This Row],[Werkzeuglos]]=1,3,0)))=select!$E$7,1,0)</f>
        <v>0</v>
      </c>
      <c r="I91" s="46">
        <f ca="1">IF(Tabelle1[[#This Row],[Winkel]]+Tabelle1[[#This Row],[Kröpfung]]+Tabelle1[[#This Row],[Däpfung]]+Tabelle1[[#This Row],[Bohrbild]]+Tabelle1[[#This Row],[Scharnierbefestigung]]=5,1,0)</f>
        <v>0</v>
      </c>
      <c r="J91" t="str">
        <f ca="1">Sprache!$A$56</f>
        <v>TIOMOS hinge TS-Impresso</v>
      </c>
      <c r="K91" t="s">
        <v>161</v>
      </c>
      <c r="L91" t="s">
        <v>73</v>
      </c>
      <c r="M91">
        <v>19</v>
      </c>
      <c r="N91" t="s">
        <v>3</v>
      </c>
      <c r="O91">
        <v>120</v>
      </c>
      <c r="P91">
        <v>1</v>
      </c>
      <c r="Q91">
        <v>0</v>
      </c>
      <c r="R91">
        <v>0</v>
      </c>
      <c r="S91">
        <v>0</v>
      </c>
      <c r="T91">
        <v>0</v>
      </c>
      <c r="U91">
        <v>1</v>
      </c>
      <c r="V91" s="14" t="s">
        <v>160</v>
      </c>
    </row>
    <row r="92" spans="1:22" ht="14.25" customHeight="1" x14ac:dyDescent="0.25">
      <c r="A92" s="48" t="str">
        <f>LEFT(Tabelle1[[#This Row],[Artikel'#]],4)</f>
        <v>F034</v>
      </c>
      <c r="B92" s="46" t="str">
        <f>MID(Tabelle1[[#This Row],[Artikel'#]],5,3)</f>
        <v>139</v>
      </c>
      <c r="C92" s="48" t="str">
        <f>RIGHT(Tabelle1[[#This Row],[Artikel'#]],3)</f>
        <v>300</v>
      </c>
      <c r="D92" s="46">
        <f>IF(Tabelle1[[#This Row],[Winkel2]]=select!$A$2,1,0)</f>
        <v>1</v>
      </c>
      <c r="E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2" s="46">
        <f>IF(select!$E$16=IF(Tabelle1[[#This Row],[mit Dämpfung]]=1,1,IF(Tabelle1[[#This Row],[ohne Dämpfung]]=1,2,IF(Tabelle1[[#This Row],[ohne Feder]]=1,3,0))),1,0)</f>
        <v>0</v>
      </c>
      <c r="G92" s="46">
        <f>IF(Tabelle1[[#This Row],[Links]]=select!$I$2,1,0)</f>
        <v>0</v>
      </c>
      <c r="H92" s="46">
        <f>IF(IF(Tabelle1[[#This Row],[Anschrauben]]=1,1,IF(Tabelle1[[#This Row],[Einpressen]]=1,2,IF(Tabelle1[[#This Row],[Werkzeuglos]]=1,3,0)))=select!$E$7,1,0)</f>
        <v>0</v>
      </c>
      <c r="I92" s="46">
        <f ca="1">IF(Tabelle1[[#This Row],[Winkel]]+Tabelle1[[#This Row],[Kröpfung]]+Tabelle1[[#This Row],[Däpfung]]+Tabelle1[[#This Row],[Bohrbild]]+Tabelle1[[#This Row],[Scharnierbefestigung]]=5,1,0)</f>
        <v>0</v>
      </c>
      <c r="J92" t="str">
        <f ca="1">Sprache!$A$54</f>
        <v>TIOMOS hinge T-Impresso</v>
      </c>
      <c r="K92" t="s">
        <v>72</v>
      </c>
      <c r="L92" t="s">
        <v>73</v>
      </c>
      <c r="M92">
        <v>0</v>
      </c>
      <c r="N92" t="s">
        <v>12</v>
      </c>
      <c r="O92">
        <v>110</v>
      </c>
      <c r="P92">
        <v>0</v>
      </c>
      <c r="Q92">
        <v>1</v>
      </c>
      <c r="R92">
        <v>0</v>
      </c>
      <c r="S92">
        <v>0</v>
      </c>
      <c r="T92">
        <v>0</v>
      </c>
      <c r="U92">
        <v>1</v>
      </c>
      <c r="V92" s="14" t="s">
        <v>47</v>
      </c>
    </row>
    <row r="93" spans="1:22" ht="14.25" customHeight="1" x14ac:dyDescent="0.25">
      <c r="A93" s="48" t="str">
        <f>LEFT(Tabelle1[[#This Row],[Artikel'#]],4)</f>
        <v>F034</v>
      </c>
      <c r="B93" s="46" t="str">
        <f>MID(Tabelle1[[#This Row],[Artikel'#]],5,3)</f>
        <v>139</v>
      </c>
      <c r="C93" s="48" t="str">
        <f>RIGHT(Tabelle1[[#This Row],[Artikel'#]],3)</f>
        <v>300</v>
      </c>
      <c r="D93" s="46">
        <f>IF(Tabelle1[[#This Row],[Winkel2]]=select!$A$2,1,0)</f>
        <v>1</v>
      </c>
      <c r="E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3" s="46">
        <f>IF(select!$E$16=IF(Tabelle1[[#This Row],[mit Dämpfung]]=1,1,IF(Tabelle1[[#This Row],[ohne Dämpfung]]=1,2,IF(Tabelle1[[#This Row],[ohne Feder]]=1,3,0))),1,0)</f>
        <v>0</v>
      </c>
      <c r="G93" s="46">
        <f>IF(Tabelle1[[#This Row],[Links]]=select!$I$2,1,0)</f>
        <v>1</v>
      </c>
      <c r="H93" s="46">
        <f>IF(IF(Tabelle1[[#This Row],[Anschrauben]]=1,1,IF(Tabelle1[[#This Row],[Einpressen]]=1,2,IF(Tabelle1[[#This Row],[Werkzeuglos]]=1,3,0)))=select!$E$7,1,0)</f>
        <v>0</v>
      </c>
      <c r="I93" s="46">
        <f ca="1">IF(Tabelle1[[#This Row],[Winkel]]+Tabelle1[[#This Row],[Kröpfung]]+Tabelle1[[#This Row],[Däpfung]]+Tabelle1[[#This Row],[Bohrbild]]+Tabelle1[[#This Row],[Scharnierbefestigung]]=5,1,0)</f>
        <v>0</v>
      </c>
      <c r="J93" t="str">
        <f ca="1">Sprache!$A$54</f>
        <v>TIOMOS hinge T-Impresso</v>
      </c>
      <c r="K93" t="s">
        <v>72</v>
      </c>
      <c r="L93" t="s">
        <v>73</v>
      </c>
      <c r="M93">
        <v>0</v>
      </c>
      <c r="N93" t="s">
        <v>3</v>
      </c>
      <c r="O93">
        <v>110</v>
      </c>
      <c r="P93">
        <v>0</v>
      </c>
      <c r="Q93">
        <v>1</v>
      </c>
      <c r="R93">
        <v>0</v>
      </c>
      <c r="S93">
        <v>0</v>
      </c>
      <c r="T93">
        <v>0</v>
      </c>
      <c r="U93">
        <v>1</v>
      </c>
      <c r="V93" s="14" t="s">
        <v>47</v>
      </c>
    </row>
    <row r="94" spans="1:22" ht="14.25" customHeight="1" x14ac:dyDescent="0.25">
      <c r="A94" s="48" t="str">
        <f>LEFT(Tabelle1[[#This Row],[Artikel'#]],4)</f>
        <v>F034</v>
      </c>
      <c r="B94" s="46" t="str">
        <f>MID(Tabelle1[[#This Row],[Artikel'#]],5,3)</f>
        <v>139</v>
      </c>
      <c r="C94" s="48" t="str">
        <f>RIGHT(Tabelle1[[#This Row],[Artikel'#]],3)</f>
        <v>301</v>
      </c>
      <c r="D94" s="46">
        <f>IF(Tabelle1[[#This Row],[Winkel2]]=select!$A$2,1,0)</f>
        <v>1</v>
      </c>
      <c r="E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4" s="46">
        <f>IF(select!$E$16=IF(Tabelle1[[#This Row],[mit Dämpfung]]=1,1,IF(Tabelle1[[#This Row],[ohne Dämpfung]]=1,2,IF(Tabelle1[[#This Row],[ohne Feder]]=1,3,0))),1,0)</f>
        <v>0</v>
      </c>
      <c r="G94" s="46">
        <f>IF(Tabelle1[[#This Row],[Links]]=select!$I$2,1,0)</f>
        <v>0</v>
      </c>
      <c r="H94" s="46">
        <f>IF(IF(Tabelle1[[#This Row],[Anschrauben]]=1,1,IF(Tabelle1[[#This Row],[Einpressen]]=1,2,IF(Tabelle1[[#This Row],[Werkzeuglos]]=1,3,0)))=select!$E$7,1,0)</f>
        <v>0</v>
      </c>
      <c r="I94" s="46">
        <f ca="1">IF(Tabelle1[[#This Row],[Winkel]]+Tabelle1[[#This Row],[Kröpfung]]+Tabelle1[[#This Row],[Däpfung]]+Tabelle1[[#This Row],[Bohrbild]]+Tabelle1[[#This Row],[Scharnierbefestigung]]=5,1,0)</f>
        <v>0</v>
      </c>
      <c r="J94" t="str">
        <f ca="1">Sprache!$A$54</f>
        <v>TIOMOS hinge T-Impresso</v>
      </c>
      <c r="K94" t="s">
        <v>75</v>
      </c>
      <c r="L94" t="s">
        <v>73</v>
      </c>
      <c r="M94">
        <v>3</v>
      </c>
      <c r="N94" t="s">
        <v>12</v>
      </c>
      <c r="O94">
        <v>110</v>
      </c>
      <c r="P94">
        <v>0</v>
      </c>
      <c r="Q94">
        <v>1</v>
      </c>
      <c r="R94">
        <v>0</v>
      </c>
      <c r="S94">
        <v>0</v>
      </c>
      <c r="T94">
        <v>0</v>
      </c>
      <c r="U94">
        <v>1</v>
      </c>
      <c r="V94" s="14" t="s">
        <v>163</v>
      </c>
    </row>
    <row r="95" spans="1:22" ht="14.25" customHeight="1" x14ac:dyDescent="0.25">
      <c r="A95" s="48" t="str">
        <f>LEFT(Tabelle1[[#This Row],[Artikel'#]],4)</f>
        <v>F034</v>
      </c>
      <c r="B95" s="46" t="str">
        <f>MID(Tabelle1[[#This Row],[Artikel'#]],5,3)</f>
        <v>139</v>
      </c>
      <c r="C95" s="48" t="str">
        <f>RIGHT(Tabelle1[[#This Row],[Artikel'#]],3)</f>
        <v>301</v>
      </c>
      <c r="D95" s="46">
        <f>IF(Tabelle1[[#This Row],[Winkel2]]=select!$A$2,1,0)</f>
        <v>1</v>
      </c>
      <c r="E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5" s="46">
        <f>IF(select!$E$16=IF(Tabelle1[[#This Row],[mit Dämpfung]]=1,1,IF(Tabelle1[[#This Row],[ohne Dämpfung]]=1,2,IF(Tabelle1[[#This Row],[ohne Feder]]=1,3,0))),1,0)</f>
        <v>0</v>
      </c>
      <c r="G95" s="46">
        <f>IF(Tabelle1[[#This Row],[Links]]=select!$I$2,1,0)</f>
        <v>1</v>
      </c>
      <c r="H95" s="46">
        <f>IF(IF(Tabelle1[[#This Row],[Anschrauben]]=1,1,IF(Tabelle1[[#This Row],[Einpressen]]=1,2,IF(Tabelle1[[#This Row],[Werkzeuglos]]=1,3,0)))=select!$E$7,1,0)</f>
        <v>0</v>
      </c>
      <c r="I95" s="46">
        <f ca="1">IF(Tabelle1[[#This Row],[Winkel]]+Tabelle1[[#This Row],[Kröpfung]]+Tabelle1[[#This Row],[Däpfung]]+Tabelle1[[#This Row],[Bohrbild]]+Tabelle1[[#This Row],[Scharnierbefestigung]]=5,1,0)</f>
        <v>0</v>
      </c>
      <c r="J95" t="str">
        <f ca="1">Sprache!$A$54</f>
        <v>TIOMOS hinge T-Impresso</v>
      </c>
      <c r="K95" t="s">
        <v>75</v>
      </c>
      <c r="L95" t="s">
        <v>73</v>
      </c>
      <c r="M95">
        <v>3</v>
      </c>
      <c r="N95" t="s">
        <v>3</v>
      </c>
      <c r="O95">
        <v>110</v>
      </c>
      <c r="P95">
        <v>0</v>
      </c>
      <c r="Q95">
        <v>1</v>
      </c>
      <c r="R95">
        <v>0</v>
      </c>
      <c r="S95">
        <v>0</v>
      </c>
      <c r="T95">
        <v>0</v>
      </c>
      <c r="U95">
        <v>1</v>
      </c>
      <c r="V95" s="14" t="s">
        <v>163</v>
      </c>
    </row>
    <row r="96" spans="1:22" ht="14.25" customHeight="1" x14ac:dyDescent="0.25">
      <c r="A96" s="48" t="str">
        <f>LEFT(Tabelle1[[#This Row],[Artikel'#]],4)</f>
        <v>F034</v>
      </c>
      <c r="B96" s="46" t="str">
        <f>MID(Tabelle1[[#This Row],[Artikel'#]],5,3)</f>
        <v>139</v>
      </c>
      <c r="C96" s="48" t="str">
        <f>RIGHT(Tabelle1[[#This Row],[Artikel'#]],3)</f>
        <v>302</v>
      </c>
      <c r="D96" s="46">
        <f>IF(Tabelle1[[#This Row],[Winkel2]]=select!$A$2,1,0)</f>
        <v>1</v>
      </c>
      <c r="E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96" s="46">
        <f>IF(select!$E$16=IF(Tabelle1[[#This Row],[mit Dämpfung]]=1,1,IF(Tabelle1[[#This Row],[ohne Dämpfung]]=1,2,IF(Tabelle1[[#This Row],[ohne Feder]]=1,3,0))),1,0)</f>
        <v>0</v>
      </c>
      <c r="G96" s="46">
        <f>IF(Tabelle1[[#This Row],[Links]]=select!$I$2,1,0)</f>
        <v>0</v>
      </c>
      <c r="H96" s="46">
        <f>IF(IF(Tabelle1[[#This Row],[Anschrauben]]=1,1,IF(Tabelle1[[#This Row],[Einpressen]]=1,2,IF(Tabelle1[[#This Row],[Werkzeuglos]]=1,3,0)))=select!$E$7,1,0)</f>
        <v>0</v>
      </c>
      <c r="I96" s="46">
        <f ca="1">IF(Tabelle1[[#This Row],[Winkel]]+Tabelle1[[#This Row],[Kröpfung]]+Tabelle1[[#This Row],[Däpfung]]+Tabelle1[[#This Row],[Bohrbild]]+Tabelle1[[#This Row],[Scharnierbefestigung]]=5,1,0)</f>
        <v>0</v>
      </c>
      <c r="J96" t="str">
        <f ca="1">Sprache!$A$54</f>
        <v>TIOMOS hinge T-Impresso</v>
      </c>
      <c r="K96" t="s">
        <v>77</v>
      </c>
      <c r="L96" t="s">
        <v>73</v>
      </c>
      <c r="M96">
        <v>9.5</v>
      </c>
      <c r="N96" t="s">
        <v>12</v>
      </c>
      <c r="O96">
        <v>110</v>
      </c>
      <c r="P96">
        <v>0</v>
      </c>
      <c r="Q96">
        <v>1</v>
      </c>
      <c r="R96">
        <v>0</v>
      </c>
      <c r="S96">
        <v>0</v>
      </c>
      <c r="T96">
        <v>0</v>
      </c>
      <c r="U96">
        <v>1</v>
      </c>
      <c r="V96" s="14" t="s">
        <v>164</v>
      </c>
    </row>
    <row r="97" spans="1:22" ht="14.25" customHeight="1" x14ac:dyDescent="0.25">
      <c r="A97" s="48" t="str">
        <f>LEFT(Tabelle1[[#This Row],[Artikel'#]],4)</f>
        <v>F034</v>
      </c>
      <c r="B97" s="46" t="str">
        <f>MID(Tabelle1[[#This Row],[Artikel'#]],5,3)</f>
        <v>139</v>
      </c>
      <c r="C97" s="48" t="str">
        <f>RIGHT(Tabelle1[[#This Row],[Artikel'#]],3)</f>
        <v>302</v>
      </c>
      <c r="D97" s="46">
        <f>IF(Tabelle1[[#This Row],[Winkel2]]=select!$A$2,1,0)</f>
        <v>1</v>
      </c>
      <c r="E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97" s="46">
        <f>IF(select!$E$16=IF(Tabelle1[[#This Row],[mit Dämpfung]]=1,1,IF(Tabelle1[[#This Row],[ohne Dämpfung]]=1,2,IF(Tabelle1[[#This Row],[ohne Feder]]=1,3,0))),1,0)</f>
        <v>0</v>
      </c>
      <c r="G97" s="46">
        <f>IF(Tabelle1[[#This Row],[Links]]=select!$I$2,1,0)</f>
        <v>1</v>
      </c>
      <c r="H97" s="46">
        <f>IF(IF(Tabelle1[[#This Row],[Anschrauben]]=1,1,IF(Tabelle1[[#This Row],[Einpressen]]=1,2,IF(Tabelle1[[#This Row],[Werkzeuglos]]=1,3,0)))=select!$E$7,1,0)</f>
        <v>0</v>
      </c>
      <c r="I97" s="46">
        <f ca="1">IF(Tabelle1[[#This Row],[Winkel]]+Tabelle1[[#This Row],[Kröpfung]]+Tabelle1[[#This Row],[Däpfung]]+Tabelle1[[#This Row],[Bohrbild]]+Tabelle1[[#This Row],[Scharnierbefestigung]]=5,1,0)</f>
        <v>0</v>
      </c>
      <c r="J97" t="str">
        <f ca="1">Sprache!$A$54</f>
        <v>TIOMOS hinge T-Impresso</v>
      </c>
      <c r="K97" t="s">
        <v>77</v>
      </c>
      <c r="L97" t="s">
        <v>73</v>
      </c>
      <c r="M97">
        <v>9.5</v>
      </c>
      <c r="N97" t="s">
        <v>3</v>
      </c>
      <c r="O97">
        <v>110</v>
      </c>
      <c r="P97">
        <v>0</v>
      </c>
      <c r="Q97">
        <v>1</v>
      </c>
      <c r="R97">
        <v>0</v>
      </c>
      <c r="S97">
        <v>0</v>
      </c>
      <c r="T97">
        <v>0</v>
      </c>
      <c r="U97">
        <v>1</v>
      </c>
      <c r="V97" s="14" t="s">
        <v>164</v>
      </c>
    </row>
    <row r="98" spans="1:22" ht="14.25" customHeight="1" x14ac:dyDescent="0.25">
      <c r="A98" s="48" t="str">
        <f>LEFT(Tabelle1[[#This Row],[Artikel'#]],4)</f>
        <v>F034</v>
      </c>
      <c r="B98" s="46" t="str">
        <f>MID(Tabelle1[[#This Row],[Artikel'#]],5,3)</f>
        <v>139</v>
      </c>
      <c r="C98" s="48" t="str">
        <f>RIGHT(Tabelle1[[#This Row],[Artikel'#]],3)</f>
        <v>303</v>
      </c>
      <c r="D98" s="46">
        <f>IF(Tabelle1[[#This Row],[Winkel2]]=select!$A$2,1,0)</f>
        <v>1</v>
      </c>
      <c r="E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8" s="46">
        <f>IF(select!$E$16=IF(Tabelle1[[#This Row],[mit Dämpfung]]=1,1,IF(Tabelle1[[#This Row],[ohne Dämpfung]]=1,2,IF(Tabelle1[[#This Row],[ohne Feder]]=1,3,0))),1,0)</f>
        <v>0</v>
      </c>
      <c r="G98" s="46">
        <f>IF(Tabelle1[[#This Row],[Links]]=select!$I$2,1,0)</f>
        <v>0</v>
      </c>
      <c r="H98" s="46">
        <f>IF(IF(Tabelle1[[#This Row],[Anschrauben]]=1,1,IF(Tabelle1[[#This Row],[Einpressen]]=1,2,IF(Tabelle1[[#This Row],[Werkzeuglos]]=1,3,0)))=select!$E$7,1,0)</f>
        <v>0</v>
      </c>
      <c r="I98" s="46">
        <f ca="1">IF(Tabelle1[[#This Row],[Winkel]]+Tabelle1[[#This Row],[Kröpfung]]+Tabelle1[[#This Row],[Däpfung]]+Tabelle1[[#This Row],[Bohrbild]]+Tabelle1[[#This Row],[Scharnierbefestigung]]=5,1,0)</f>
        <v>0</v>
      </c>
      <c r="J98" t="str">
        <f ca="1">Sprache!$A$54</f>
        <v>TIOMOS hinge T-Impresso</v>
      </c>
      <c r="K98" t="s">
        <v>79</v>
      </c>
      <c r="L98" t="s">
        <v>73</v>
      </c>
      <c r="M98">
        <v>19</v>
      </c>
      <c r="N98" t="s">
        <v>12</v>
      </c>
      <c r="O98">
        <v>110</v>
      </c>
      <c r="P98">
        <v>0</v>
      </c>
      <c r="Q98">
        <v>1</v>
      </c>
      <c r="R98">
        <v>0</v>
      </c>
      <c r="S98">
        <v>0</v>
      </c>
      <c r="T98">
        <v>0</v>
      </c>
      <c r="U98">
        <v>1</v>
      </c>
      <c r="V98" s="14" t="s">
        <v>165</v>
      </c>
    </row>
    <row r="99" spans="1:22" ht="14.25" customHeight="1" x14ac:dyDescent="0.25">
      <c r="A99" s="48" t="str">
        <f>LEFT(Tabelle1[[#This Row],[Artikel'#]],4)</f>
        <v>F034</v>
      </c>
      <c r="B99" s="46" t="str">
        <f>MID(Tabelle1[[#This Row],[Artikel'#]],5,3)</f>
        <v>139</v>
      </c>
      <c r="C99" s="48" t="str">
        <f>RIGHT(Tabelle1[[#This Row],[Artikel'#]],3)</f>
        <v>303</v>
      </c>
      <c r="D99" s="46">
        <f>IF(Tabelle1[[#This Row],[Winkel2]]=select!$A$2,1,0)</f>
        <v>1</v>
      </c>
      <c r="E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99" s="46">
        <f>IF(select!$E$16=IF(Tabelle1[[#This Row],[mit Dämpfung]]=1,1,IF(Tabelle1[[#This Row],[ohne Dämpfung]]=1,2,IF(Tabelle1[[#This Row],[ohne Feder]]=1,3,0))),1,0)</f>
        <v>0</v>
      </c>
      <c r="G99" s="46">
        <f>IF(Tabelle1[[#This Row],[Links]]=select!$I$2,1,0)</f>
        <v>1</v>
      </c>
      <c r="H99" s="46">
        <f>IF(IF(Tabelle1[[#This Row],[Anschrauben]]=1,1,IF(Tabelle1[[#This Row],[Einpressen]]=1,2,IF(Tabelle1[[#This Row],[Werkzeuglos]]=1,3,0)))=select!$E$7,1,0)</f>
        <v>0</v>
      </c>
      <c r="I99" s="46">
        <f ca="1">IF(Tabelle1[[#This Row],[Winkel]]+Tabelle1[[#This Row],[Kröpfung]]+Tabelle1[[#This Row],[Däpfung]]+Tabelle1[[#This Row],[Bohrbild]]+Tabelle1[[#This Row],[Scharnierbefestigung]]=5,1,0)</f>
        <v>0</v>
      </c>
      <c r="J99" t="str">
        <f ca="1">Sprache!$A$54</f>
        <v>TIOMOS hinge T-Impresso</v>
      </c>
      <c r="K99" t="s">
        <v>79</v>
      </c>
      <c r="L99" t="s">
        <v>73</v>
      </c>
      <c r="M99">
        <v>19</v>
      </c>
      <c r="N99" t="s">
        <v>3</v>
      </c>
      <c r="O99">
        <v>110</v>
      </c>
      <c r="P99">
        <v>0</v>
      </c>
      <c r="Q99">
        <v>1</v>
      </c>
      <c r="R99">
        <v>0</v>
      </c>
      <c r="S99">
        <v>0</v>
      </c>
      <c r="T99">
        <v>0</v>
      </c>
      <c r="U99">
        <v>1</v>
      </c>
      <c r="V99" s="14" t="s">
        <v>165</v>
      </c>
    </row>
    <row r="100" spans="1:22" ht="14.25" customHeight="1" x14ac:dyDescent="0.25">
      <c r="A100" s="48" t="str">
        <f>LEFT(Tabelle1[[#This Row],[Artikel'#]],4)</f>
        <v>F034</v>
      </c>
      <c r="B100" s="46" t="str">
        <f>MID(Tabelle1[[#This Row],[Artikel'#]],5,3)</f>
        <v>139</v>
      </c>
      <c r="C100" s="48" t="str">
        <f>RIGHT(Tabelle1[[#This Row],[Artikel'#]],3)</f>
        <v>314</v>
      </c>
      <c r="D100" s="46">
        <f>IF(Tabelle1[[#This Row],[Winkel2]]=select!$A$2,1,0)</f>
        <v>0</v>
      </c>
      <c r="E1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0" s="46">
        <f>IF(select!$E$16=IF(Tabelle1[[#This Row],[mit Dämpfung]]=1,1,IF(Tabelle1[[#This Row],[ohne Dämpfung]]=1,2,IF(Tabelle1[[#This Row],[ohne Feder]]=1,3,0))),1,0)</f>
        <v>0</v>
      </c>
      <c r="G100" s="46">
        <f>IF(Tabelle1[[#This Row],[Links]]=select!$I$2,1,0)</f>
        <v>0</v>
      </c>
      <c r="H100" s="46">
        <f>IF(IF(Tabelle1[[#This Row],[Anschrauben]]=1,1,IF(Tabelle1[[#This Row],[Einpressen]]=1,2,IF(Tabelle1[[#This Row],[Werkzeuglos]]=1,3,0)))=select!$E$7,1,0)</f>
        <v>0</v>
      </c>
      <c r="I100" s="46">
        <f ca="1">IF(Tabelle1[[#This Row],[Winkel]]+Tabelle1[[#This Row],[Kröpfung]]+Tabelle1[[#This Row],[Däpfung]]+Tabelle1[[#This Row],[Bohrbild]]+Tabelle1[[#This Row],[Scharnierbefestigung]]=5,1,0)</f>
        <v>0</v>
      </c>
      <c r="J100" t="str">
        <f ca="1">Sprache!$A$54</f>
        <v>TIOMOS hinge T-Impresso</v>
      </c>
      <c r="K100" t="s">
        <v>81</v>
      </c>
      <c r="L100" t="s">
        <v>73</v>
      </c>
      <c r="M100">
        <v>0</v>
      </c>
      <c r="N100" t="s">
        <v>12</v>
      </c>
      <c r="O100">
        <v>120</v>
      </c>
      <c r="P100">
        <v>0</v>
      </c>
      <c r="Q100">
        <v>1</v>
      </c>
      <c r="R100">
        <v>0</v>
      </c>
      <c r="S100">
        <v>0</v>
      </c>
      <c r="T100">
        <v>0</v>
      </c>
      <c r="U100">
        <v>1</v>
      </c>
      <c r="V100" s="14" t="s">
        <v>166</v>
      </c>
    </row>
    <row r="101" spans="1:22" ht="14.25" customHeight="1" x14ac:dyDescent="0.25">
      <c r="A101" s="48" t="str">
        <f>LEFT(Tabelle1[[#This Row],[Artikel'#]],4)</f>
        <v>F034</v>
      </c>
      <c r="B101" s="46" t="str">
        <f>MID(Tabelle1[[#This Row],[Artikel'#]],5,3)</f>
        <v>139</v>
      </c>
      <c r="C101" s="48" t="str">
        <f>RIGHT(Tabelle1[[#This Row],[Artikel'#]],3)</f>
        <v>314</v>
      </c>
      <c r="D101" s="46">
        <f>IF(Tabelle1[[#This Row],[Winkel2]]=select!$A$2,1,0)</f>
        <v>0</v>
      </c>
      <c r="E1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1" s="46">
        <f>IF(select!$E$16=IF(Tabelle1[[#This Row],[mit Dämpfung]]=1,1,IF(Tabelle1[[#This Row],[ohne Dämpfung]]=1,2,IF(Tabelle1[[#This Row],[ohne Feder]]=1,3,0))),1,0)</f>
        <v>0</v>
      </c>
      <c r="G101" s="46">
        <f>IF(Tabelle1[[#This Row],[Links]]=select!$I$2,1,0)</f>
        <v>1</v>
      </c>
      <c r="H101" s="46">
        <f>IF(IF(Tabelle1[[#This Row],[Anschrauben]]=1,1,IF(Tabelle1[[#This Row],[Einpressen]]=1,2,IF(Tabelle1[[#This Row],[Werkzeuglos]]=1,3,0)))=select!$E$7,1,0)</f>
        <v>0</v>
      </c>
      <c r="I101" s="46">
        <f ca="1">IF(Tabelle1[[#This Row],[Winkel]]+Tabelle1[[#This Row],[Kröpfung]]+Tabelle1[[#This Row],[Däpfung]]+Tabelle1[[#This Row],[Bohrbild]]+Tabelle1[[#This Row],[Scharnierbefestigung]]=5,1,0)</f>
        <v>0</v>
      </c>
      <c r="J101" t="str">
        <f ca="1">Sprache!$A$54</f>
        <v>TIOMOS hinge T-Impresso</v>
      </c>
      <c r="K101" t="s">
        <v>81</v>
      </c>
      <c r="L101" t="s">
        <v>73</v>
      </c>
      <c r="M101">
        <v>0</v>
      </c>
      <c r="N101" t="s">
        <v>3</v>
      </c>
      <c r="O101">
        <v>120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1</v>
      </c>
      <c r="V101" s="14" t="s">
        <v>166</v>
      </c>
    </row>
    <row r="102" spans="1:22" ht="14.25" customHeight="1" x14ac:dyDescent="0.25">
      <c r="A102" s="48" t="str">
        <f>LEFT(Tabelle1[[#This Row],[Artikel'#]],4)</f>
        <v>F034</v>
      </c>
      <c r="B102" s="46" t="str">
        <f>MID(Tabelle1[[#This Row],[Artikel'#]],5,3)</f>
        <v>139</v>
      </c>
      <c r="C102" s="48" t="str">
        <f>RIGHT(Tabelle1[[#This Row],[Artikel'#]],3)</f>
        <v>315</v>
      </c>
      <c r="D102" s="46">
        <f>IF(Tabelle1[[#This Row],[Winkel2]]=select!$A$2,1,0)</f>
        <v>0</v>
      </c>
      <c r="E1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2" s="46">
        <f>IF(select!$E$16=IF(Tabelle1[[#This Row],[mit Dämpfung]]=1,1,IF(Tabelle1[[#This Row],[ohne Dämpfung]]=1,2,IF(Tabelle1[[#This Row],[ohne Feder]]=1,3,0))),1,0)</f>
        <v>0</v>
      </c>
      <c r="G102" s="46">
        <f>IF(Tabelle1[[#This Row],[Links]]=select!$I$2,1,0)</f>
        <v>0</v>
      </c>
      <c r="H102" s="46">
        <f>IF(IF(Tabelle1[[#This Row],[Anschrauben]]=1,1,IF(Tabelle1[[#This Row],[Einpressen]]=1,2,IF(Tabelle1[[#This Row],[Werkzeuglos]]=1,3,0)))=select!$E$7,1,0)</f>
        <v>0</v>
      </c>
      <c r="I102" s="46">
        <f ca="1">IF(Tabelle1[[#This Row],[Winkel]]+Tabelle1[[#This Row],[Kröpfung]]+Tabelle1[[#This Row],[Däpfung]]+Tabelle1[[#This Row],[Bohrbild]]+Tabelle1[[#This Row],[Scharnierbefestigung]]=5,1,0)</f>
        <v>0</v>
      </c>
      <c r="J102" t="str">
        <f ca="1">Sprache!$A$54</f>
        <v>TIOMOS hinge T-Impresso</v>
      </c>
      <c r="K102" t="s">
        <v>83</v>
      </c>
      <c r="L102" t="s">
        <v>73</v>
      </c>
      <c r="M102">
        <v>3</v>
      </c>
      <c r="N102" t="s">
        <v>12</v>
      </c>
      <c r="O102">
        <v>120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1</v>
      </c>
      <c r="V102" s="14" t="s">
        <v>167</v>
      </c>
    </row>
    <row r="103" spans="1:22" ht="14.25" customHeight="1" x14ac:dyDescent="0.25">
      <c r="A103" s="48" t="str">
        <f>LEFT(Tabelle1[[#This Row],[Artikel'#]],4)</f>
        <v>F034</v>
      </c>
      <c r="B103" s="46" t="str">
        <f>MID(Tabelle1[[#This Row],[Artikel'#]],5,3)</f>
        <v>139</v>
      </c>
      <c r="C103" s="48" t="str">
        <f>RIGHT(Tabelle1[[#This Row],[Artikel'#]],3)</f>
        <v>315</v>
      </c>
      <c r="D103" s="46">
        <f>IF(Tabelle1[[#This Row],[Winkel2]]=select!$A$2,1,0)</f>
        <v>0</v>
      </c>
      <c r="E1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3" s="46">
        <f>IF(select!$E$16=IF(Tabelle1[[#This Row],[mit Dämpfung]]=1,1,IF(Tabelle1[[#This Row],[ohne Dämpfung]]=1,2,IF(Tabelle1[[#This Row],[ohne Feder]]=1,3,0))),1,0)</f>
        <v>0</v>
      </c>
      <c r="G103" s="46">
        <f>IF(Tabelle1[[#This Row],[Links]]=select!$I$2,1,0)</f>
        <v>1</v>
      </c>
      <c r="H103" s="46">
        <f>IF(IF(Tabelle1[[#This Row],[Anschrauben]]=1,1,IF(Tabelle1[[#This Row],[Einpressen]]=1,2,IF(Tabelle1[[#This Row],[Werkzeuglos]]=1,3,0)))=select!$E$7,1,0)</f>
        <v>0</v>
      </c>
      <c r="I103" s="46">
        <f ca="1">IF(Tabelle1[[#This Row],[Winkel]]+Tabelle1[[#This Row],[Kröpfung]]+Tabelle1[[#This Row],[Däpfung]]+Tabelle1[[#This Row],[Bohrbild]]+Tabelle1[[#This Row],[Scharnierbefestigung]]=5,1,0)</f>
        <v>0</v>
      </c>
      <c r="J103" t="str">
        <f ca="1">Sprache!$A$54</f>
        <v>TIOMOS hinge T-Impresso</v>
      </c>
      <c r="K103" t="s">
        <v>83</v>
      </c>
      <c r="L103" t="s">
        <v>73</v>
      </c>
      <c r="M103">
        <v>3</v>
      </c>
      <c r="N103" t="s">
        <v>3</v>
      </c>
      <c r="O103">
        <v>120</v>
      </c>
      <c r="P103">
        <v>0</v>
      </c>
      <c r="Q103">
        <v>1</v>
      </c>
      <c r="R103">
        <v>0</v>
      </c>
      <c r="S103">
        <v>0</v>
      </c>
      <c r="T103">
        <v>0</v>
      </c>
      <c r="U103">
        <v>1</v>
      </c>
      <c r="V103" s="14" t="s">
        <v>167</v>
      </c>
    </row>
    <row r="104" spans="1:22" ht="14.25" customHeight="1" x14ac:dyDescent="0.25">
      <c r="A104" s="48" t="str">
        <f>LEFT(Tabelle1[[#This Row],[Artikel'#]],4)</f>
        <v>F034</v>
      </c>
      <c r="B104" s="46" t="str">
        <f>MID(Tabelle1[[#This Row],[Artikel'#]],5,3)</f>
        <v>139</v>
      </c>
      <c r="C104" s="48" t="str">
        <f>RIGHT(Tabelle1[[#This Row],[Artikel'#]],3)</f>
        <v>316</v>
      </c>
      <c r="D104" s="46">
        <f>IF(Tabelle1[[#This Row],[Winkel2]]=select!$A$2,1,0)</f>
        <v>0</v>
      </c>
      <c r="E1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04" s="46">
        <f>IF(select!$E$16=IF(Tabelle1[[#This Row],[mit Dämpfung]]=1,1,IF(Tabelle1[[#This Row],[ohne Dämpfung]]=1,2,IF(Tabelle1[[#This Row],[ohne Feder]]=1,3,0))),1,0)</f>
        <v>0</v>
      </c>
      <c r="G104" s="46">
        <f>IF(Tabelle1[[#This Row],[Links]]=select!$I$2,1,0)</f>
        <v>0</v>
      </c>
      <c r="H104" s="46">
        <f>IF(IF(Tabelle1[[#This Row],[Anschrauben]]=1,1,IF(Tabelle1[[#This Row],[Einpressen]]=1,2,IF(Tabelle1[[#This Row],[Werkzeuglos]]=1,3,0)))=select!$E$7,1,0)</f>
        <v>0</v>
      </c>
      <c r="I104" s="46">
        <f ca="1">IF(Tabelle1[[#This Row],[Winkel]]+Tabelle1[[#This Row],[Kröpfung]]+Tabelle1[[#This Row],[Däpfung]]+Tabelle1[[#This Row],[Bohrbild]]+Tabelle1[[#This Row],[Scharnierbefestigung]]=5,1,0)</f>
        <v>0</v>
      </c>
      <c r="J104" t="str">
        <f ca="1">Sprache!$A$54</f>
        <v>TIOMOS hinge T-Impresso</v>
      </c>
      <c r="K104" t="s">
        <v>85</v>
      </c>
      <c r="L104" t="s">
        <v>73</v>
      </c>
      <c r="M104">
        <v>9.5</v>
      </c>
      <c r="N104" t="s">
        <v>12</v>
      </c>
      <c r="O104">
        <v>120</v>
      </c>
      <c r="P104">
        <v>0</v>
      </c>
      <c r="Q104">
        <v>1</v>
      </c>
      <c r="R104">
        <v>0</v>
      </c>
      <c r="S104">
        <v>0</v>
      </c>
      <c r="T104">
        <v>0</v>
      </c>
      <c r="U104">
        <v>1</v>
      </c>
      <c r="V104" s="14" t="s">
        <v>168</v>
      </c>
    </row>
    <row r="105" spans="1:22" ht="14.25" customHeight="1" x14ac:dyDescent="0.25">
      <c r="A105" s="48" t="str">
        <f>LEFT(Tabelle1[[#This Row],[Artikel'#]],4)</f>
        <v>F034</v>
      </c>
      <c r="B105" s="46" t="str">
        <f>MID(Tabelle1[[#This Row],[Artikel'#]],5,3)</f>
        <v>139</v>
      </c>
      <c r="C105" s="48" t="str">
        <f>RIGHT(Tabelle1[[#This Row],[Artikel'#]],3)</f>
        <v>316</v>
      </c>
      <c r="D105" s="46">
        <f>IF(Tabelle1[[#This Row],[Winkel2]]=select!$A$2,1,0)</f>
        <v>0</v>
      </c>
      <c r="E1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05" s="46">
        <f>IF(select!$E$16=IF(Tabelle1[[#This Row],[mit Dämpfung]]=1,1,IF(Tabelle1[[#This Row],[ohne Dämpfung]]=1,2,IF(Tabelle1[[#This Row],[ohne Feder]]=1,3,0))),1,0)</f>
        <v>0</v>
      </c>
      <c r="G105" s="46">
        <f>IF(Tabelle1[[#This Row],[Links]]=select!$I$2,1,0)</f>
        <v>1</v>
      </c>
      <c r="H105" s="46">
        <f>IF(IF(Tabelle1[[#This Row],[Anschrauben]]=1,1,IF(Tabelle1[[#This Row],[Einpressen]]=1,2,IF(Tabelle1[[#This Row],[Werkzeuglos]]=1,3,0)))=select!$E$7,1,0)</f>
        <v>0</v>
      </c>
      <c r="I105" s="46">
        <f ca="1">IF(Tabelle1[[#This Row],[Winkel]]+Tabelle1[[#This Row],[Kröpfung]]+Tabelle1[[#This Row],[Däpfung]]+Tabelle1[[#This Row],[Bohrbild]]+Tabelle1[[#This Row],[Scharnierbefestigung]]=5,1,0)</f>
        <v>0</v>
      </c>
      <c r="J105" t="str">
        <f ca="1">Sprache!$A$54</f>
        <v>TIOMOS hinge T-Impresso</v>
      </c>
      <c r="K105" t="s">
        <v>85</v>
      </c>
      <c r="L105" t="s">
        <v>73</v>
      </c>
      <c r="M105">
        <v>9.5</v>
      </c>
      <c r="N105" t="s">
        <v>3</v>
      </c>
      <c r="O105">
        <v>120</v>
      </c>
      <c r="P105">
        <v>0</v>
      </c>
      <c r="Q105">
        <v>1</v>
      </c>
      <c r="R105">
        <v>0</v>
      </c>
      <c r="S105">
        <v>0</v>
      </c>
      <c r="T105">
        <v>0</v>
      </c>
      <c r="U105">
        <v>1</v>
      </c>
      <c r="V105" s="14" t="s">
        <v>168</v>
      </c>
    </row>
    <row r="106" spans="1:22" ht="14.25" customHeight="1" x14ac:dyDescent="0.25">
      <c r="A106" s="48" t="str">
        <f>LEFT(Tabelle1[[#This Row],[Artikel'#]],4)</f>
        <v>F034</v>
      </c>
      <c r="B106" s="46" t="str">
        <f>MID(Tabelle1[[#This Row],[Artikel'#]],5,3)</f>
        <v>139</v>
      </c>
      <c r="C106" s="48" t="str">
        <f>RIGHT(Tabelle1[[#This Row],[Artikel'#]],3)</f>
        <v>317</v>
      </c>
      <c r="D106" s="46">
        <f>IF(Tabelle1[[#This Row],[Winkel2]]=select!$A$2,1,0)</f>
        <v>0</v>
      </c>
      <c r="E1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6" s="46">
        <f>IF(select!$E$16=IF(Tabelle1[[#This Row],[mit Dämpfung]]=1,1,IF(Tabelle1[[#This Row],[ohne Dämpfung]]=1,2,IF(Tabelle1[[#This Row],[ohne Feder]]=1,3,0))),1,0)</f>
        <v>0</v>
      </c>
      <c r="G106" s="46">
        <f>IF(Tabelle1[[#This Row],[Links]]=select!$I$2,1,0)</f>
        <v>0</v>
      </c>
      <c r="H106" s="46">
        <f>IF(IF(Tabelle1[[#This Row],[Anschrauben]]=1,1,IF(Tabelle1[[#This Row],[Einpressen]]=1,2,IF(Tabelle1[[#This Row],[Werkzeuglos]]=1,3,0)))=select!$E$7,1,0)</f>
        <v>0</v>
      </c>
      <c r="I106" s="46">
        <f ca="1">IF(Tabelle1[[#This Row],[Winkel]]+Tabelle1[[#This Row],[Kröpfung]]+Tabelle1[[#This Row],[Däpfung]]+Tabelle1[[#This Row],[Bohrbild]]+Tabelle1[[#This Row],[Scharnierbefestigung]]=5,1,0)</f>
        <v>0</v>
      </c>
      <c r="J106" t="str">
        <f ca="1">Sprache!$A$54</f>
        <v>TIOMOS hinge T-Impresso</v>
      </c>
      <c r="K106" t="s">
        <v>87</v>
      </c>
      <c r="L106" t="s">
        <v>73</v>
      </c>
      <c r="M106">
        <v>19</v>
      </c>
      <c r="N106" t="s">
        <v>12</v>
      </c>
      <c r="O106">
        <v>120</v>
      </c>
      <c r="P106">
        <v>0</v>
      </c>
      <c r="Q106">
        <v>1</v>
      </c>
      <c r="R106">
        <v>0</v>
      </c>
      <c r="S106">
        <v>0</v>
      </c>
      <c r="T106">
        <v>0</v>
      </c>
      <c r="U106">
        <v>1</v>
      </c>
      <c r="V106" s="14" t="s">
        <v>169</v>
      </c>
    </row>
    <row r="107" spans="1:22" ht="14.25" customHeight="1" x14ac:dyDescent="0.25">
      <c r="A107" s="48" t="str">
        <f>LEFT(Tabelle1[[#This Row],[Artikel'#]],4)</f>
        <v>F034</v>
      </c>
      <c r="B107" s="46" t="str">
        <f>MID(Tabelle1[[#This Row],[Artikel'#]],5,3)</f>
        <v>139</v>
      </c>
      <c r="C107" s="48" t="str">
        <f>RIGHT(Tabelle1[[#This Row],[Artikel'#]],3)</f>
        <v>317</v>
      </c>
      <c r="D107" s="46">
        <f>IF(Tabelle1[[#This Row],[Winkel2]]=select!$A$2,1,0)</f>
        <v>0</v>
      </c>
      <c r="E1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7" s="46">
        <f>IF(select!$E$16=IF(Tabelle1[[#This Row],[mit Dämpfung]]=1,1,IF(Tabelle1[[#This Row],[ohne Dämpfung]]=1,2,IF(Tabelle1[[#This Row],[ohne Feder]]=1,3,0))),1,0)</f>
        <v>0</v>
      </c>
      <c r="G107" s="46">
        <f>IF(Tabelle1[[#This Row],[Links]]=select!$I$2,1,0)</f>
        <v>1</v>
      </c>
      <c r="H107" s="46">
        <f>IF(IF(Tabelle1[[#This Row],[Anschrauben]]=1,1,IF(Tabelle1[[#This Row],[Einpressen]]=1,2,IF(Tabelle1[[#This Row],[Werkzeuglos]]=1,3,0)))=select!$E$7,1,0)</f>
        <v>0</v>
      </c>
      <c r="I107" s="46">
        <f ca="1">IF(Tabelle1[[#This Row],[Winkel]]+Tabelle1[[#This Row],[Kröpfung]]+Tabelle1[[#This Row],[Däpfung]]+Tabelle1[[#This Row],[Bohrbild]]+Tabelle1[[#This Row],[Scharnierbefestigung]]=5,1,0)</f>
        <v>0</v>
      </c>
      <c r="J107" t="str">
        <f ca="1">Sprache!$A$54</f>
        <v>TIOMOS hinge T-Impresso</v>
      </c>
      <c r="K107" t="s">
        <v>87</v>
      </c>
      <c r="L107" t="s">
        <v>73</v>
      </c>
      <c r="M107">
        <v>19</v>
      </c>
      <c r="N107" t="s">
        <v>3</v>
      </c>
      <c r="O107">
        <v>120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1</v>
      </c>
      <c r="V107" s="14" t="s">
        <v>169</v>
      </c>
    </row>
    <row r="108" spans="1:22" ht="14.25" customHeight="1" x14ac:dyDescent="0.25">
      <c r="A108" s="48" t="str">
        <f>LEFT(Tabelle1[[#This Row],[Artikel'#]],4)</f>
        <v>F034</v>
      </c>
      <c r="B108" s="46" t="str">
        <f>MID(Tabelle1[[#This Row],[Artikel'#]],5,3)</f>
        <v>139</v>
      </c>
      <c r="C108" s="48" t="str">
        <f>RIGHT(Tabelle1[[#This Row],[Artikel'#]],3)</f>
        <v>321</v>
      </c>
      <c r="D108" s="46">
        <f>IF(Tabelle1[[#This Row],[Winkel2]]=select!$A$2,1,0)</f>
        <v>0</v>
      </c>
      <c r="E1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8" s="46">
        <f>IF(select!$E$16=IF(Tabelle1[[#This Row],[mit Dämpfung]]=1,1,IF(Tabelle1[[#This Row],[ohne Dämpfung]]=1,2,IF(Tabelle1[[#This Row],[ohne Feder]]=1,3,0))),1,0)</f>
        <v>0</v>
      </c>
      <c r="G108" s="46">
        <f>IF(Tabelle1[[#This Row],[Links]]=select!$I$2,1,0)</f>
        <v>0</v>
      </c>
      <c r="H108" s="46">
        <f>IF(IF(Tabelle1[[#This Row],[Anschrauben]]=1,1,IF(Tabelle1[[#This Row],[Einpressen]]=1,2,IF(Tabelle1[[#This Row],[Werkzeuglos]]=1,3,0)))=select!$E$7,1,0)</f>
        <v>0</v>
      </c>
      <c r="I108" s="46">
        <f ca="1">IF(Tabelle1[[#This Row],[Winkel]]+Tabelle1[[#This Row],[Kröpfung]]+Tabelle1[[#This Row],[Däpfung]]+Tabelle1[[#This Row],[Bohrbild]]+Tabelle1[[#This Row],[Scharnierbefestigung]]=5,1,0)</f>
        <v>0</v>
      </c>
      <c r="J108" t="str">
        <f ca="1">Sprache!$A$54</f>
        <v>TIOMOS hinge T-Impresso</v>
      </c>
      <c r="K108" t="s">
        <v>89</v>
      </c>
      <c r="L108" t="s">
        <v>73</v>
      </c>
      <c r="M108">
        <v>0</v>
      </c>
      <c r="N108" s="13" t="s">
        <v>12</v>
      </c>
      <c r="O108">
        <v>160</v>
      </c>
      <c r="P108">
        <v>0</v>
      </c>
      <c r="Q108">
        <v>1</v>
      </c>
      <c r="R108">
        <v>0</v>
      </c>
      <c r="S108">
        <v>0</v>
      </c>
      <c r="T108">
        <v>0</v>
      </c>
      <c r="U108">
        <v>1</v>
      </c>
      <c r="V108" s="14" t="s">
        <v>170</v>
      </c>
    </row>
    <row r="109" spans="1:22" ht="14.25" customHeight="1" x14ac:dyDescent="0.25">
      <c r="A109" s="48" t="str">
        <f>LEFT(Tabelle1[[#This Row],[Artikel'#]],4)</f>
        <v>F034</v>
      </c>
      <c r="B109" s="46" t="str">
        <f>MID(Tabelle1[[#This Row],[Artikel'#]],5,3)</f>
        <v>139</v>
      </c>
      <c r="C109" s="48" t="str">
        <f>RIGHT(Tabelle1[[#This Row],[Artikel'#]],3)</f>
        <v>321</v>
      </c>
      <c r="D109" s="46">
        <f>IF(Tabelle1[[#This Row],[Winkel2]]=select!$A$2,1,0)</f>
        <v>0</v>
      </c>
      <c r="E1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09" s="46">
        <f>IF(select!$E$16=IF(Tabelle1[[#This Row],[mit Dämpfung]]=1,1,IF(Tabelle1[[#This Row],[ohne Dämpfung]]=1,2,IF(Tabelle1[[#This Row],[ohne Feder]]=1,3,0))),1,0)</f>
        <v>0</v>
      </c>
      <c r="G109" s="46">
        <f>IF(Tabelle1[[#This Row],[Links]]=select!$I$2,1,0)</f>
        <v>1</v>
      </c>
      <c r="H109" s="46">
        <f>IF(IF(Tabelle1[[#This Row],[Anschrauben]]=1,1,IF(Tabelle1[[#This Row],[Einpressen]]=1,2,IF(Tabelle1[[#This Row],[Werkzeuglos]]=1,3,0)))=select!$E$7,1,0)</f>
        <v>0</v>
      </c>
      <c r="I109" s="46">
        <f ca="1">IF(Tabelle1[[#This Row],[Winkel]]+Tabelle1[[#This Row],[Kröpfung]]+Tabelle1[[#This Row],[Däpfung]]+Tabelle1[[#This Row],[Bohrbild]]+Tabelle1[[#This Row],[Scharnierbefestigung]]=5,1,0)</f>
        <v>0</v>
      </c>
      <c r="J109" t="str">
        <f ca="1">Sprache!$A$54</f>
        <v>TIOMOS hinge T-Impresso</v>
      </c>
      <c r="K109" t="s">
        <v>89</v>
      </c>
      <c r="L109" t="s">
        <v>73</v>
      </c>
      <c r="M109">
        <v>0</v>
      </c>
      <c r="N109" s="13" t="s">
        <v>3</v>
      </c>
      <c r="O109">
        <v>160</v>
      </c>
      <c r="P109">
        <v>0</v>
      </c>
      <c r="Q109">
        <v>1</v>
      </c>
      <c r="R109">
        <v>0</v>
      </c>
      <c r="S109">
        <v>0</v>
      </c>
      <c r="T109">
        <v>0</v>
      </c>
      <c r="U109">
        <v>1</v>
      </c>
      <c r="V109" s="14" t="s">
        <v>170</v>
      </c>
    </row>
    <row r="110" spans="1:22" ht="14.25" customHeight="1" x14ac:dyDescent="0.25">
      <c r="A110" s="48" t="str">
        <f>LEFT(Tabelle1[[#This Row],[Artikel'#]],4)</f>
        <v>F034</v>
      </c>
      <c r="B110" s="46" t="str">
        <f>MID(Tabelle1[[#This Row],[Artikel'#]],5,3)</f>
        <v>139</v>
      </c>
      <c r="C110" s="48" t="str">
        <f>RIGHT(Tabelle1[[#This Row],[Artikel'#]],3)</f>
        <v>322</v>
      </c>
      <c r="D110" s="46">
        <f>IF(Tabelle1[[#This Row],[Winkel2]]=select!$A$2,1,0)</f>
        <v>0</v>
      </c>
      <c r="E1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0" s="46">
        <f>IF(select!$E$16=IF(Tabelle1[[#This Row],[mit Dämpfung]]=1,1,IF(Tabelle1[[#This Row],[ohne Dämpfung]]=1,2,IF(Tabelle1[[#This Row],[ohne Feder]]=1,3,0))),1,0)</f>
        <v>0</v>
      </c>
      <c r="G110" s="46">
        <f>IF(Tabelle1[[#This Row],[Links]]=select!$I$2,1,0)</f>
        <v>0</v>
      </c>
      <c r="H110" s="46">
        <f>IF(IF(Tabelle1[[#This Row],[Anschrauben]]=1,1,IF(Tabelle1[[#This Row],[Einpressen]]=1,2,IF(Tabelle1[[#This Row],[Werkzeuglos]]=1,3,0)))=select!$E$7,1,0)</f>
        <v>0</v>
      </c>
      <c r="I110" s="46">
        <f ca="1">IF(Tabelle1[[#This Row],[Winkel]]+Tabelle1[[#This Row],[Kröpfung]]+Tabelle1[[#This Row],[Däpfung]]+Tabelle1[[#This Row],[Bohrbild]]+Tabelle1[[#This Row],[Scharnierbefestigung]]=5,1,0)</f>
        <v>0</v>
      </c>
      <c r="J110" t="str">
        <f ca="1">Sprache!$A$54</f>
        <v>TIOMOS hinge T-Impresso</v>
      </c>
      <c r="K110" t="s">
        <v>91</v>
      </c>
      <c r="L110" t="s">
        <v>73</v>
      </c>
      <c r="M110">
        <v>3</v>
      </c>
      <c r="N110" t="s">
        <v>12</v>
      </c>
      <c r="O110">
        <v>160</v>
      </c>
      <c r="P110">
        <v>0</v>
      </c>
      <c r="Q110">
        <v>1</v>
      </c>
      <c r="R110">
        <v>0</v>
      </c>
      <c r="S110">
        <v>0</v>
      </c>
      <c r="T110">
        <v>0</v>
      </c>
      <c r="U110">
        <v>1</v>
      </c>
      <c r="V110" s="14" t="s">
        <v>171</v>
      </c>
    </row>
    <row r="111" spans="1:22" ht="14.25" customHeight="1" x14ac:dyDescent="0.25">
      <c r="A111" s="48" t="str">
        <f>LEFT(Tabelle1[[#This Row],[Artikel'#]],4)</f>
        <v>F034</v>
      </c>
      <c r="B111" s="46" t="str">
        <f>MID(Tabelle1[[#This Row],[Artikel'#]],5,3)</f>
        <v>139</v>
      </c>
      <c r="C111" s="48" t="str">
        <f>RIGHT(Tabelle1[[#This Row],[Artikel'#]],3)</f>
        <v>322</v>
      </c>
      <c r="D111" s="46">
        <f>IF(Tabelle1[[#This Row],[Winkel2]]=select!$A$2,1,0)</f>
        <v>0</v>
      </c>
      <c r="E1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1" s="46">
        <f>IF(select!$E$16=IF(Tabelle1[[#This Row],[mit Dämpfung]]=1,1,IF(Tabelle1[[#This Row],[ohne Dämpfung]]=1,2,IF(Tabelle1[[#This Row],[ohne Feder]]=1,3,0))),1,0)</f>
        <v>0</v>
      </c>
      <c r="G111" s="46">
        <f>IF(Tabelle1[[#This Row],[Links]]=select!$I$2,1,0)</f>
        <v>1</v>
      </c>
      <c r="H111" s="46">
        <f>IF(IF(Tabelle1[[#This Row],[Anschrauben]]=1,1,IF(Tabelle1[[#This Row],[Einpressen]]=1,2,IF(Tabelle1[[#This Row],[Werkzeuglos]]=1,3,0)))=select!$E$7,1,0)</f>
        <v>0</v>
      </c>
      <c r="I111" s="46">
        <f ca="1">IF(Tabelle1[[#This Row],[Winkel]]+Tabelle1[[#This Row],[Kröpfung]]+Tabelle1[[#This Row],[Däpfung]]+Tabelle1[[#This Row],[Bohrbild]]+Tabelle1[[#This Row],[Scharnierbefestigung]]=5,1,0)</f>
        <v>0</v>
      </c>
      <c r="J111" t="str">
        <f ca="1">Sprache!$A$54</f>
        <v>TIOMOS hinge T-Impresso</v>
      </c>
      <c r="K111" t="s">
        <v>91</v>
      </c>
      <c r="L111" t="s">
        <v>73</v>
      </c>
      <c r="M111">
        <v>3</v>
      </c>
      <c r="N111" t="s">
        <v>3</v>
      </c>
      <c r="O111">
        <v>160</v>
      </c>
      <c r="P111">
        <v>0</v>
      </c>
      <c r="Q111">
        <v>1</v>
      </c>
      <c r="R111">
        <v>0</v>
      </c>
      <c r="S111">
        <v>0</v>
      </c>
      <c r="T111">
        <v>0</v>
      </c>
      <c r="U111">
        <v>1</v>
      </c>
      <c r="V111" s="14" t="s">
        <v>171</v>
      </c>
    </row>
    <row r="112" spans="1:22" ht="14.25" customHeight="1" x14ac:dyDescent="0.25">
      <c r="A112" s="48" t="str">
        <f>LEFT(Tabelle1[[#This Row],[Artikel'#]],4)</f>
        <v>F034</v>
      </c>
      <c r="B112" s="46" t="str">
        <f>MID(Tabelle1[[#This Row],[Artikel'#]],5,3)</f>
        <v>139</v>
      </c>
      <c r="C112" s="48" t="str">
        <f>RIGHT(Tabelle1[[#This Row],[Artikel'#]],3)</f>
        <v>323</v>
      </c>
      <c r="D112" s="46">
        <f>IF(Tabelle1[[#This Row],[Winkel2]]=select!$A$2,1,0)</f>
        <v>0</v>
      </c>
      <c r="E1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12" s="46">
        <f>IF(select!$E$16=IF(Tabelle1[[#This Row],[mit Dämpfung]]=1,1,IF(Tabelle1[[#This Row],[ohne Dämpfung]]=1,2,IF(Tabelle1[[#This Row],[ohne Feder]]=1,3,0))),1,0)</f>
        <v>0</v>
      </c>
      <c r="G112" s="46">
        <f>IF(Tabelle1[[#This Row],[Links]]=select!$I$2,1,0)</f>
        <v>0</v>
      </c>
      <c r="H112" s="46">
        <f>IF(IF(Tabelle1[[#This Row],[Anschrauben]]=1,1,IF(Tabelle1[[#This Row],[Einpressen]]=1,2,IF(Tabelle1[[#This Row],[Werkzeuglos]]=1,3,0)))=select!$E$7,1,0)</f>
        <v>0</v>
      </c>
      <c r="I112" s="46">
        <f ca="1">IF(Tabelle1[[#This Row],[Winkel]]+Tabelle1[[#This Row],[Kröpfung]]+Tabelle1[[#This Row],[Däpfung]]+Tabelle1[[#This Row],[Bohrbild]]+Tabelle1[[#This Row],[Scharnierbefestigung]]=5,1,0)</f>
        <v>0</v>
      </c>
      <c r="J112" t="str">
        <f ca="1">Sprache!$A$54</f>
        <v>TIOMOS hinge T-Impresso</v>
      </c>
      <c r="K112" t="s">
        <v>93</v>
      </c>
      <c r="L112" t="s">
        <v>73</v>
      </c>
      <c r="M112">
        <v>9.5</v>
      </c>
      <c r="N112" t="s">
        <v>12</v>
      </c>
      <c r="O112">
        <v>160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1</v>
      </c>
      <c r="V112" s="14" t="s">
        <v>172</v>
      </c>
    </row>
    <row r="113" spans="1:22" ht="14.25" customHeight="1" x14ac:dyDescent="0.25">
      <c r="A113" s="48" t="str">
        <f>LEFT(Tabelle1[[#This Row],[Artikel'#]],4)</f>
        <v>F034</v>
      </c>
      <c r="B113" s="46" t="str">
        <f>MID(Tabelle1[[#This Row],[Artikel'#]],5,3)</f>
        <v>139</v>
      </c>
      <c r="C113" s="48" t="str">
        <f>RIGHT(Tabelle1[[#This Row],[Artikel'#]],3)</f>
        <v>323</v>
      </c>
      <c r="D113" s="46">
        <f>IF(Tabelle1[[#This Row],[Winkel2]]=select!$A$2,1,0)</f>
        <v>0</v>
      </c>
      <c r="E1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13" s="46">
        <f>IF(select!$E$16=IF(Tabelle1[[#This Row],[mit Dämpfung]]=1,1,IF(Tabelle1[[#This Row],[ohne Dämpfung]]=1,2,IF(Tabelle1[[#This Row],[ohne Feder]]=1,3,0))),1,0)</f>
        <v>0</v>
      </c>
      <c r="G113" s="46">
        <f>IF(Tabelle1[[#This Row],[Links]]=select!$I$2,1,0)</f>
        <v>1</v>
      </c>
      <c r="H113" s="46">
        <f>IF(IF(Tabelle1[[#This Row],[Anschrauben]]=1,1,IF(Tabelle1[[#This Row],[Einpressen]]=1,2,IF(Tabelle1[[#This Row],[Werkzeuglos]]=1,3,0)))=select!$E$7,1,0)</f>
        <v>0</v>
      </c>
      <c r="I113" s="46">
        <f ca="1">IF(Tabelle1[[#This Row],[Winkel]]+Tabelle1[[#This Row],[Kröpfung]]+Tabelle1[[#This Row],[Däpfung]]+Tabelle1[[#This Row],[Bohrbild]]+Tabelle1[[#This Row],[Scharnierbefestigung]]=5,1,0)</f>
        <v>0</v>
      </c>
      <c r="J113" t="str">
        <f ca="1">Sprache!$A$54</f>
        <v>TIOMOS hinge T-Impresso</v>
      </c>
      <c r="K113" t="s">
        <v>93</v>
      </c>
      <c r="L113" t="s">
        <v>73</v>
      </c>
      <c r="M113">
        <v>9.5</v>
      </c>
      <c r="N113" t="s">
        <v>3</v>
      </c>
      <c r="O113">
        <v>160</v>
      </c>
      <c r="P113">
        <v>0</v>
      </c>
      <c r="Q113">
        <v>1</v>
      </c>
      <c r="R113">
        <v>0</v>
      </c>
      <c r="S113">
        <v>0</v>
      </c>
      <c r="T113">
        <v>0</v>
      </c>
      <c r="U113">
        <v>1</v>
      </c>
      <c r="V113" s="14" t="s">
        <v>172</v>
      </c>
    </row>
    <row r="114" spans="1:22" ht="14.25" customHeight="1" x14ac:dyDescent="0.25">
      <c r="A114" s="48" t="str">
        <f>LEFT(Tabelle1[[#This Row],[Artikel'#]],4)</f>
        <v>F034</v>
      </c>
      <c r="B114" s="46" t="str">
        <f>MID(Tabelle1[[#This Row],[Artikel'#]],5,3)</f>
        <v>139</v>
      </c>
      <c r="C114" s="48" t="str">
        <f>RIGHT(Tabelle1[[#This Row],[Artikel'#]],3)</f>
        <v>324</v>
      </c>
      <c r="D114" s="46">
        <f>IF(Tabelle1[[#This Row],[Winkel2]]=select!$A$2,1,0)</f>
        <v>0</v>
      </c>
      <c r="E1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4" s="46">
        <f>IF(select!$E$16=IF(Tabelle1[[#This Row],[mit Dämpfung]]=1,1,IF(Tabelle1[[#This Row],[ohne Dämpfung]]=1,2,IF(Tabelle1[[#This Row],[ohne Feder]]=1,3,0))),1,0)</f>
        <v>0</v>
      </c>
      <c r="G114" s="46">
        <f>IF(Tabelle1[[#This Row],[Links]]=select!$I$2,1,0)</f>
        <v>0</v>
      </c>
      <c r="H114" s="46">
        <f>IF(IF(Tabelle1[[#This Row],[Anschrauben]]=1,1,IF(Tabelle1[[#This Row],[Einpressen]]=1,2,IF(Tabelle1[[#This Row],[Werkzeuglos]]=1,3,0)))=select!$E$7,1,0)</f>
        <v>0</v>
      </c>
      <c r="I114" s="46">
        <f ca="1">IF(Tabelle1[[#This Row],[Winkel]]+Tabelle1[[#This Row],[Kröpfung]]+Tabelle1[[#This Row],[Däpfung]]+Tabelle1[[#This Row],[Bohrbild]]+Tabelle1[[#This Row],[Scharnierbefestigung]]=5,1,0)</f>
        <v>0</v>
      </c>
      <c r="J114" t="str">
        <f ca="1">Sprache!$A$54</f>
        <v>TIOMOS hinge T-Impresso</v>
      </c>
      <c r="K114" t="s">
        <v>95</v>
      </c>
      <c r="L114" t="s">
        <v>73</v>
      </c>
      <c r="M114">
        <v>0</v>
      </c>
      <c r="N114" t="s">
        <v>12</v>
      </c>
      <c r="O114">
        <v>95</v>
      </c>
      <c r="P114">
        <v>0</v>
      </c>
      <c r="Q114">
        <v>1</v>
      </c>
      <c r="R114">
        <v>0</v>
      </c>
      <c r="S114">
        <v>0</v>
      </c>
      <c r="T114">
        <v>0</v>
      </c>
      <c r="U114">
        <v>1</v>
      </c>
      <c r="V114" s="14" t="s">
        <v>173</v>
      </c>
    </row>
    <row r="115" spans="1:22" ht="14.25" customHeight="1" x14ac:dyDescent="0.25">
      <c r="A115" s="48" t="str">
        <f>LEFT(Tabelle1[[#This Row],[Artikel'#]],4)</f>
        <v>F034</v>
      </c>
      <c r="B115" s="46" t="str">
        <f>MID(Tabelle1[[#This Row],[Artikel'#]],5,3)</f>
        <v>139</v>
      </c>
      <c r="C115" s="48" t="str">
        <f>RIGHT(Tabelle1[[#This Row],[Artikel'#]],3)</f>
        <v>324</v>
      </c>
      <c r="D115" s="46">
        <f>IF(Tabelle1[[#This Row],[Winkel2]]=select!$A$2,1,0)</f>
        <v>0</v>
      </c>
      <c r="E1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5" s="46">
        <f>IF(select!$E$16=IF(Tabelle1[[#This Row],[mit Dämpfung]]=1,1,IF(Tabelle1[[#This Row],[ohne Dämpfung]]=1,2,IF(Tabelle1[[#This Row],[ohne Feder]]=1,3,0))),1,0)</f>
        <v>0</v>
      </c>
      <c r="G115" s="46">
        <f>IF(Tabelle1[[#This Row],[Links]]=select!$I$2,1,0)</f>
        <v>1</v>
      </c>
      <c r="H115" s="46">
        <f>IF(IF(Tabelle1[[#This Row],[Anschrauben]]=1,1,IF(Tabelle1[[#This Row],[Einpressen]]=1,2,IF(Tabelle1[[#This Row],[Werkzeuglos]]=1,3,0)))=select!$E$7,1,0)</f>
        <v>0</v>
      </c>
      <c r="I115" s="46">
        <f ca="1">IF(Tabelle1[[#This Row],[Winkel]]+Tabelle1[[#This Row],[Kröpfung]]+Tabelle1[[#This Row],[Däpfung]]+Tabelle1[[#This Row],[Bohrbild]]+Tabelle1[[#This Row],[Scharnierbefestigung]]=5,1,0)</f>
        <v>0</v>
      </c>
      <c r="J115" t="str">
        <f ca="1">Sprache!$A$54</f>
        <v>TIOMOS hinge T-Impresso</v>
      </c>
      <c r="K115" t="s">
        <v>95</v>
      </c>
      <c r="L115" t="s">
        <v>73</v>
      </c>
      <c r="M115">
        <v>0</v>
      </c>
      <c r="N115" t="s">
        <v>3</v>
      </c>
      <c r="O115">
        <v>95</v>
      </c>
      <c r="P115">
        <v>0</v>
      </c>
      <c r="Q115">
        <v>1</v>
      </c>
      <c r="R115">
        <v>0</v>
      </c>
      <c r="S115">
        <v>0</v>
      </c>
      <c r="T115">
        <v>0</v>
      </c>
      <c r="U115">
        <v>1</v>
      </c>
      <c r="V115" s="14" t="s">
        <v>173</v>
      </c>
    </row>
    <row r="116" spans="1:22" ht="14.25" customHeight="1" x14ac:dyDescent="0.25">
      <c r="A116" s="48" t="str">
        <f>LEFT(Tabelle1[[#This Row],[Artikel'#]],4)</f>
        <v>F034</v>
      </c>
      <c r="B116" s="46" t="str">
        <f>MID(Tabelle1[[#This Row],[Artikel'#]],5,3)</f>
        <v>139</v>
      </c>
      <c r="C116" s="48" t="str">
        <f>RIGHT(Tabelle1[[#This Row],[Artikel'#]],3)</f>
        <v>325</v>
      </c>
      <c r="D116" s="46">
        <f>IF(Tabelle1[[#This Row],[Winkel2]]=select!$A$2,1,0)</f>
        <v>0</v>
      </c>
      <c r="E1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6" s="46">
        <f>IF(select!$E$16=IF(Tabelle1[[#This Row],[mit Dämpfung]]=1,1,IF(Tabelle1[[#This Row],[ohne Dämpfung]]=1,2,IF(Tabelle1[[#This Row],[ohne Feder]]=1,3,0))),1,0)</f>
        <v>0</v>
      </c>
      <c r="G116" s="46">
        <f>IF(Tabelle1[[#This Row],[Links]]=select!$I$2,1,0)</f>
        <v>0</v>
      </c>
      <c r="H116" s="46">
        <f>IF(IF(Tabelle1[[#This Row],[Anschrauben]]=1,1,IF(Tabelle1[[#This Row],[Einpressen]]=1,2,IF(Tabelle1[[#This Row],[Werkzeuglos]]=1,3,0)))=select!$E$7,1,0)</f>
        <v>0</v>
      </c>
      <c r="I116" s="46">
        <f ca="1">IF(Tabelle1[[#This Row],[Winkel]]+Tabelle1[[#This Row],[Kröpfung]]+Tabelle1[[#This Row],[Däpfung]]+Tabelle1[[#This Row],[Bohrbild]]+Tabelle1[[#This Row],[Scharnierbefestigung]]=5,1,0)</f>
        <v>0</v>
      </c>
      <c r="J116" t="str">
        <f ca="1">Sprache!$A$54</f>
        <v>TIOMOS hinge T-Impresso</v>
      </c>
      <c r="K116" t="s">
        <v>97</v>
      </c>
      <c r="L116" t="s">
        <v>73</v>
      </c>
      <c r="M116">
        <v>3</v>
      </c>
      <c r="N116" t="s">
        <v>12</v>
      </c>
      <c r="O116">
        <v>95</v>
      </c>
      <c r="P116">
        <v>0</v>
      </c>
      <c r="Q116">
        <v>1</v>
      </c>
      <c r="R116">
        <v>0</v>
      </c>
      <c r="S116">
        <v>0</v>
      </c>
      <c r="T116">
        <v>0</v>
      </c>
      <c r="U116">
        <v>1</v>
      </c>
      <c r="V116" s="14" t="s">
        <v>174</v>
      </c>
    </row>
    <row r="117" spans="1:22" ht="14.25" customHeight="1" x14ac:dyDescent="0.25">
      <c r="A117" s="48" t="str">
        <f>LEFT(Tabelle1[[#This Row],[Artikel'#]],4)</f>
        <v>F034</v>
      </c>
      <c r="B117" s="46" t="str">
        <f>MID(Tabelle1[[#This Row],[Artikel'#]],5,3)</f>
        <v>139</v>
      </c>
      <c r="C117" s="48" t="str">
        <f>RIGHT(Tabelle1[[#This Row],[Artikel'#]],3)</f>
        <v>325</v>
      </c>
      <c r="D117" s="46">
        <f>IF(Tabelle1[[#This Row],[Winkel2]]=select!$A$2,1,0)</f>
        <v>0</v>
      </c>
      <c r="E1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17" s="46">
        <f>IF(select!$E$16=IF(Tabelle1[[#This Row],[mit Dämpfung]]=1,1,IF(Tabelle1[[#This Row],[ohne Dämpfung]]=1,2,IF(Tabelle1[[#This Row],[ohne Feder]]=1,3,0))),1,0)</f>
        <v>0</v>
      </c>
      <c r="G117" s="46">
        <f>IF(Tabelle1[[#This Row],[Links]]=select!$I$2,1,0)</f>
        <v>1</v>
      </c>
      <c r="H117" s="46">
        <f>IF(IF(Tabelle1[[#This Row],[Anschrauben]]=1,1,IF(Tabelle1[[#This Row],[Einpressen]]=1,2,IF(Tabelle1[[#This Row],[Werkzeuglos]]=1,3,0)))=select!$E$7,1,0)</f>
        <v>0</v>
      </c>
      <c r="I117" s="46">
        <f ca="1">IF(Tabelle1[[#This Row],[Winkel]]+Tabelle1[[#This Row],[Kröpfung]]+Tabelle1[[#This Row],[Däpfung]]+Tabelle1[[#This Row],[Bohrbild]]+Tabelle1[[#This Row],[Scharnierbefestigung]]=5,1,0)</f>
        <v>0</v>
      </c>
      <c r="J117" t="str">
        <f ca="1">Sprache!$A$54</f>
        <v>TIOMOS hinge T-Impresso</v>
      </c>
      <c r="K117" t="s">
        <v>97</v>
      </c>
      <c r="L117" t="s">
        <v>73</v>
      </c>
      <c r="M117">
        <v>3</v>
      </c>
      <c r="N117" t="s">
        <v>3</v>
      </c>
      <c r="O117">
        <v>95</v>
      </c>
      <c r="P117">
        <v>0</v>
      </c>
      <c r="Q117">
        <v>1</v>
      </c>
      <c r="R117">
        <v>0</v>
      </c>
      <c r="S117">
        <v>0</v>
      </c>
      <c r="T117">
        <v>0</v>
      </c>
      <c r="U117">
        <v>1</v>
      </c>
      <c r="V117" s="14" t="s">
        <v>174</v>
      </c>
    </row>
    <row r="118" spans="1:22" ht="14.25" customHeight="1" x14ac:dyDescent="0.25">
      <c r="A118" s="48" t="str">
        <f>LEFT(Tabelle1[[#This Row],[Artikel'#]],4)</f>
        <v>F034</v>
      </c>
      <c r="B118" s="46" t="str">
        <f>MID(Tabelle1[[#This Row],[Artikel'#]],5,3)</f>
        <v>139</v>
      </c>
      <c r="C118" s="48" t="str">
        <f>RIGHT(Tabelle1[[#This Row],[Artikel'#]],3)</f>
        <v>326</v>
      </c>
      <c r="D118" s="46">
        <f>IF(Tabelle1[[#This Row],[Winkel2]]=select!$A$2,1,0)</f>
        <v>0</v>
      </c>
      <c r="E1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18" s="46">
        <f>IF(select!$E$16=IF(Tabelle1[[#This Row],[mit Dämpfung]]=1,1,IF(Tabelle1[[#This Row],[ohne Dämpfung]]=1,2,IF(Tabelle1[[#This Row],[ohne Feder]]=1,3,0))),1,0)</f>
        <v>0</v>
      </c>
      <c r="G118" s="46">
        <f>IF(Tabelle1[[#This Row],[Links]]=select!$I$2,1,0)</f>
        <v>0</v>
      </c>
      <c r="H118" s="46">
        <f>IF(IF(Tabelle1[[#This Row],[Anschrauben]]=1,1,IF(Tabelle1[[#This Row],[Einpressen]]=1,2,IF(Tabelle1[[#This Row],[Werkzeuglos]]=1,3,0)))=select!$E$7,1,0)</f>
        <v>0</v>
      </c>
      <c r="I118" s="46">
        <f ca="1">IF(Tabelle1[[#This Row],[Winkel]]+Tabelle1[[#This Row],[Kröpfung]]+Tabelle1[[#This Row],[Däpfung]]+Tabelle1[[#This Row],[Bohrbild]]+Tabelle1[[#This Row],[Scharnierbefestigung]]=5,1,0)</f>
        <v>0</v>
      </c>
      <c r="J118" t="str">
        <f ca="1">Sprache!$A$54</f>
        <v>TIOMOS hinge T-Impresso</v>
      </c>
      <c r="K118" t="s">
        <v>99</v>
      </c>
      <c r="L118" t="s">
        <v>73</v>
      </c>
      <c r="M118">
        <v>9.5</v>
      </c>
      <c r="N118" t="s">
        <v>12</v>
      </c>
      <c r="O118">
        <v>95</v>
      </c>
      <c r="P118">
        <v>0</v>
      </c>
      <c r="Q118">
        <v>1</v>
      </c>
      <c r="R118">
        <v>0</v>
      </c>
      <c r="S118">
        <v>0</v>
      </c>
      <c r="T118">
        <v>0</v>
      </c>
      <c r="U118">
        <v>1</v>
      </c>
      <c r="V118" s="14" t="s">
        <v>175</v>
      </c>
    </row>
    <row r="119" spans="1:22" ht="14.25" customHeight="1" x14ac:dyDescent="0.25">
      <c r="A119" s="48" t="str">
        <f>LEFT(Tabelle1[[#This Row],[Artikel'#]],4)</f>
        <v>F034</v>
      </c>
      <c r="B119" s="46" t="str">
        <f>MID(Tabelle1[[#This Row],[Artikel'#]],5,3)</f>
        <v>139</v>
      </c>
      <c r="C119" s="48" t="str">
        <f>RIGHT(Tabelle1[[#This Row],[Artikel'#]],3)</f>
        <v>326</v>
      </c>
      <c r="D119" s="46">
        <f>IF(Tabelle1[[#This Row],[Winkel2]]=select!$A$2,1,0)</f>
        <v>0</v>
      </c>
      <c r="E1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19" s="46">
        <f>IF(select!$E$16=IF(Tabelle1[[#This Row],[mit Dämpfung]]=1,1,IF(Tabelle1[[#This Row],[ohne Dämpfung]]=1,2,IF(Tabelle1[[#This Row],[ohne Feder]]=1,3,0))),1,0)</f>
        <v>0</v>
      </c>
      <c r="G119" s="46">
        <f>IF(Tabelle1[[#This Row],[Links]]=select!$I$2,1,0)</f>
        <v>1</v>
      </c>
      <c r="H119" s="46">
        <f>IF(IF(Tabelle1[[#This Row],[Anschrauben]]=1,1,IF(Tabelle1[[#This Row],[Einpressen]]=1,2,IF(Tabelle1[[#This Row],[Werkzeuglos]]=1,3,0)))=select!$E$7,1,0)</f>
        <v>0</v>
      </c>
      <c r="I119" s="46">
        <f ca="1">IF(Tabelle1[[#This Row],[Winkel]]+Tabelle1[[#This Row],[Kröpfung]]+Tabelle1[[#This Row],[Däpfung]]+Tabelle1[[#This Row],[Bohrbild]]+Tabelle1[[#This Row],[Scharnierbefestigung]]=5,1,0)</f>
        <v>0</v>
      </c>
      <c r="J119" t="str">
        <f ca="1">Sprache!$A$54</f>
        <v>TIOMOS hinge T-Impresso</v>
      </c>
      <c r="K119" t="s">
        <v>99</v>
      </c>
      <c r="L119" t="s">
        <v>73</v>
      </c>
      <c r="M119">
        <v>9.5</v>
      </c>
      <c r="N119" t="s">
        <v>3</v>
      </c>
      <c r="O119">
        <v>95</v>
      </c>
      <c r="P119">
        <v>0</v>
      </c>
      <c r="Q119">
        <v>1</v>
      </c>
      <c r="R119">
        <v>0</v>
      </c>
      <c r="S119">
        <v>0</v>
      </c>
      <c r="T119">
        <v>0</v>
      </c>
      <c r="U119">
        <v>1</v>
      </c>
      <c r="V119" s="14" t="s">
        <v>175</v>
      </c>
    </row>
    <row r="120" spans="1:22" ht="14.25" customHeight="1" x14ac:dyDescent="0.25">
      <c r="A120" s="48" t="str">
        <f>LEFT(Tabelle1[[#This Row],[Artikel'#]],4)</f>
        <v>F034</v>
      </c>
      <c r="B120" s="46" t="str">
        <f>MID(Tabelle1[[#This Row],[Artikel'#]],5,3)</f>
        <v>139</v>
      </c>
      <c r="C120" s="48" t="str">
        <f>RIGHT(Tabelle1[[#This Row],[Artikel'#]],3)</f>
        <v>327</v>
      </c>
      <c r="D120" s="46">
        <f>IF(Tabelle1[[#This Row],[Winkel2]]=select!$A$2,1,0)</f>
        <v>0</v>
      </c>
      <c r="E1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0" s="46">
        <f>IF(select!$E$16=IF(Tabelle1[[#This Row],[mit Dämpfung]]=1,1,IF(Tabelle1[[#This Row],[ohne Dämpfung]]=1,2,IF(Tabelle1[[#This Row],[ohne Feder]]=1,3,0))),1,0)</f>
        <v>0</v>
      </c>
      <c r="G120" s="46">
        <f>IF(Tabelle1[[#This Row],[Links]]=select!$I$2,1,0)</f>
        <v>0</v>
      </c>
      <c r="H120" s="46">
        <f>IF(IF(Tabelle1[[#This Row],[Anschrauben]]=1,1,IF(Tabelle1[[#This Row],[Einpressen]]=1,2,IF(Tabelle1[[#This Row],[Werkzeuglos]]=1,3,0)))=select!$E$7,1,0)</f>
        <v>0</v>
      </c>
      <c r="I120" s="46">
        <f ca="1">IF(Tabelle1[[#This Row],[Winkel]]+Tabelle1[[#This Row],[Kröpfung]]+Tabelle1[[#This Row],[Däpfung]]+Tabelle1[[#This Row],[Bohrbild]]+Tabelle1[[#This Row],[Scharnierbefestigung]]=5,1,0)</f>
        <v>0</v>
      </c>
      <c r="J120" t="str">
        <f ca="1">Sprache!$A$54</f>
        <v>TIOMOS hinge T-Impresso</v>
      </c>
      <c r="K120" t="s">
        <v>101</v>
      </c>
      <c r="L120" t="s">
        <v>73</v>
      </c>
      <c r="M120">
        <v>19</v>
      </c>
      <c r="N120" t="s">
        <v>12</v>
      </c>
      <c r="O120">
        <v>95</v>
      </c>
      <c r="P120">
        <v>0</v>
      </c>
      <c r="Q120">
        <v>1</v>
      </c>
      <c r="R120">
        <v>0</v>
      </c>
      <c r="S120">
        <v>0</v>
      </c>
      <c r="T120">
        <v>0</v>
      </c>
      <c r="U120">
        <v>1</v>
      </c>
      <c r="V120" s="14" t="s">
        <v>176</v>
      </c>
    </row>
    <row r="121" spans="1:22" ht="14.25" customHeight="1" x14ac:dyDescent="0.25">
      <c r="A121" s="48" t="str">
        <f>LEFT(Tabelle1[[#This Row],[Artikel'#]],4)</f>
        <v>F034</v>
      </c>
      <c r="B121" s="46" t="str">
        <f>MID(Tabelle1[[#This Row],[Artikel'#]],5,3)</f>
        <v>139</v>
      </c>
      <c r="C121" s="48" t="str">
        <f>RIGHT(Tabelle1[[#This Row],[Artikel'#]],3)</f>
        <v>327</v>
      </c>
      <c r="D121" s="46">
        <f>IF(Tabelle1[[#This Row],[Winkel2]]=select!$A$2,1,0)</f>
        <v>0</v>
      </c>
      <c r="E1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1" s="46">
        <f>IF(select!$E$16=IF(Tabelle1[[#This Row],[mit Dämpfung]]=1,1,IF(Tabelle1[[#This Row],[ohne Dämpfung]]=1,2,IF(Tabelle1[[#This Row],[ohne Feder]]=1,3,0))),1,0)</f>
        <v>0</v>
      </c>
      <c r="G121" s="46">
        <f>IF(Tabelle1[[#This Row],[Links]]=select!$I$2,1,0)</f>
        <v>1</v>
      </c>
      <c r="H121" s="46">
        <f>IF(IF(Tabelle1[[#This Row],[Anschrauben]]=1,1,IF(Tabelle1[[#This Row],[Einpressen]]=1,2,IF(Tabelle1[[#This Row],[Werkzeuglos]]=1,3,0)))=select!$E$7,1,0)</f>
        <v>0</v>
      </c>
      <c r="I121" s="46">
        <f ca="1">IF(Tabelle1[[#This Row],[Winkel]]+Tabelle1[[#This Row],[Kröpfung]]+Tabelle1[[#This Row],[Däpfung]]+Tabelle1[[#This Row],[Bohrbild]]+Tabelle1[[#This Row],[Scharnierbefestigung]]=5,1,0)</f>
        <v>0</v>
      </c>
      <c r="J121" t="str">
        <f ca="1">Sprache!$A$54</f>
        <v>TIOMOS hinge T-Impresso</v>
      </c>
      <c r="K121" t="s">
        <v>101</v>
      </c>
      <c r="L121" t="s">
        <v>73</v>
      </c>
      <c r="M121">
        <v>19</v>
      </c>
      <c r="N121" t="s">
        <v>3</v>
      </c>
      <c r="O121">
        <v>95</v>
      </c>
      <c r="P121">
        <v>0</v>
      </c>
      <c r="Q121">
        <v>1</v>
      </c>
      <c r="R121">
        <v>0</v>
      </c>
      <c r="S121">
        <v>0</v>
      </c>
      <c r="T121">
        <v>0</v>
      </c>
      <c r="U121">
        <v>1</v>
      </c>
      <c r="V121" s="14" t="s">
        <v>176</v>
      </c>
    </row>
    <row r="122" spans="1:22" ht="14.25" customHeight="1" x14ac:dyDescent="0.25">
      <c r="A122" s="48" t="str">
        <f>LEFT(Tabelle1[[#This Row],[Artikel'#]],4)</f>
        <v>F034</v>
      </c>
      <c r="B122" s="46" t="str">
        <f>MID(Tabelle1[[#This Row],[Artikel'#]],5,3)</f>
        <v>139</v>
      </c>
      <c r="C122" s="48" t="str">
        <f>RIGHT(Tabelle1[[#This Row],[Artikel'#]],3)</f>
        <v>385</v>
      </c>
      <c r="D122" s="46">
        <f>IF(Tabelle1[[#This Row],[Winkel2]]=select!$A$2,1,0)</f>
        <v>1</v>
      </c>
      <c r="E1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2" s="46">
        <f>IF(select!$E$16=IF(Tabelle1[[#This Row],[mit Dämpfung]]=1,1,IF(Tabelle1[[#This Row],[ohne Dämpfung]]=1,2,IF(Tabelle1[[#This Row],[ohne Feder]]=1,3,0))),1,0)</f>
        <v>0</v>
      </c>
      <c r="G122" s="46">
        <f>IF(Tabelle1[[#This Row],[Links]]=select!$I$2,1,0)</f>
        <v>0</v>
      </c>
      <c r="H122" s="46">
        <f>IF(IF(Tabelle1[[#This Row],[Anschrauben]]=1,1,IF(Tabelle1[[#This Row],[Einpressen]]=1,2,IF(Tabelle1[[#This Row],[Werkzeuglos]]=1,3,0)))=select!$E$7,1,0)</f>
        <v>0</v>
      </c>
      <c r="I122" s="46">
        <f ca="1">IF(Tabelle1[[#This Row],[Winkel]]+Tabelle1[[#This Row],[Kröpfung]]+Tabelle1[[#This Row],[Däpfung]]+Tabelle1[[#This Row],[Bohrbild]]+Tabelle1[[#This Row],[Scharnierbefestigung]]=5,1,0)</f>
        <v>0</v>
      </c>
      <c r="J122" t="str">
        <f ca="1">Sprache!$A$54</f>
        <v>TIOMOS hinge T-Impresso</v>
      </c>
      <c r="K122" t="s">
        <v>103</v>
      </c>
      <c r="L122" t="s">
        <v>73</v>
      </c>
      <c r="M122">
        <v>0</v>
      </c>
      <c r="N122" t="s">
        <v>13</v>
      </c>
      <c r="O122">
        <v>110</v>
      </c>
      <c r="P122">
        <v>0</v>
      </c>
      <c r="Q122">
        <v>1</v>
      </c>
      <c r="R122">
        <v>0</v>
      </c>
      <c r="S122">
        <v>0</v>
      </c>
      <c r="T122">
        <v>0</v>
      </c>
      <c r="U122">
        <v>1</v>
      </c>
      <c r="V122" s="14" t="s">
        <v>177</v>
      </c>
    </row>
    <row r="123" spans="1:22" ht="14.25" customHeight="1" x14ac:dyDescent="0.25">
      <c r="A123" s="48" t="str">
        <f>LEFT(Tabelle1[[#This Row],[Artikel'#]],4)</f>
        <v>F034</v>
      </c>
      <c r="B123" s="46" t="str">
        <f>MID(Tabelle1[[#This Row],[Artikel'#]],5,3)</f>
        <v>139</v>
      </c>
      <c r="C123" s="48" t="str">
        <f>RIGHT(Tabelle1[[#This Row],[Artikel'#]],3)</f>
        <v>385</v>
      </c>
      <c r="D123" s="46">
        <f>IF(Tabelle1[[#This Row],[Winkel2]]=select!$A$2,1,0)</f>
        <v>1</v>
      </c>
      <c r="E1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3" s="46">
        <f>IF(select!$E$16=IF(Tabelle1[[#This Row],[mit Dämpfung]]=1,1,IF(Tabelle1[[#This Row],[ohne Dämpfung]]=1,2,IF(Tabelle1[[#This Row],[ohne Feder]]=1,3,0))),1,0)</f>
        <v>0</v>
      </c>
      <c r="G123" s="46">
        <f>IF(Tabelle1[[#This Row],[Links]]=select!$I$2,1,0)</f>
        <v>1</v>
      </c>
      <c r="H123" s="46">
        <f>IF(IF(Tabelle1[[#This Row],[Anschrauben]]=1,1,IF(Tabelle1[[#This Row],[Einpressen]]=1,2,IF(Tabelle1[[#This Row],[Werkzeuglos]]=1,3,0)))=select!$E$7,1,0)</f>
        <v>0</v>
      </c>
      <c r="I123" s="46">
        <f ca="1">IF(Tabelle1[[#This Row],[Winkel]]+Tabelle1[[#This Row],[Kröpfung]]+Tabelle1[[#This Row],[Däpfung]]+Tabelle1[[#This Row],[Bohrbild]]+Tabelle1[[#This Row],[Scharnierbefestigung]]=5,1,0)</f>
        <v>0</v>
      </c>
      <c r="J123" t="str">
        <f ca="1">Sprache!$A$54</f>
        <v>TIOMOS hinge T-Impresso</v>
      </c>
      <c r="K123" t="s">
        <v>103</v>
      </c>
      <c r="L123" t="s">
        <v>73</v>
      </c>
      <c r="M123">
        <v>0</v>
      </c>
      <c r="N123" t="s">
        <v>3</v>
      </c>
      <c r="O123">
        <v>110</v>
      </c>
      <c r="P123">
        <v>0</v>
      </c>
      <c r="Q123">
        <v>1</v>
      </c>
      <c r="R123">
        <v>0</v>
      </c>
      <c r="S123">
        <v>0</v>
      </c>
      <c r="T123">
        <v>0</v>
      </c>
      <c r="U123">
        <v>1</v>
      </c>
      <c r="V123" s="14" t="s">
        <v>177</v>
      </c>
    </row>
    <row r="124" spans="1:22" ht="14.25" customHeight="1" x14ac:dyDescent="0.25">
      <c r="A124" s="48" t="str">
        <f>LEFT(Tabelle1[[#This Row],[Artikel'#]],4)</f>
        <v>F034</v>
      </c>
      <c r="B124" s="46" t="str">
        <f>MID(Tabelle1[[#This Row],[Artikel'#]],5,3)</f>
        <v>139</v>
      </c>
      <c r="C124" s="48" t="str">
        <f>RIGHT(Tabelle1[[#This Row],[Artikel'#]],3)</f>
        <v>386</v>
      </c>
      <c r="D124" s="46">
        <f>IF(Tabelle1[[#This Row],[Winkel2]]=select!$A$2,1,0)</f>
        <v>1</v>
      </c>
      <c r="E1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4" s="46">
        <f>IF(select!$E$16=IF(Tabelle1[[#This Row],[mit Dämpfung]]=1,1,IF(Tabelle1[[#This Row],[ohne Dämpfung]]=1,2,IF(Tabelle1[[#This Row],[ohne Feder]]=1,3,0))),1,0)</f>
        <v>0</v>
      </c>
      <c r="G124" s="46">
        <f>IF(Tabelle1[[#This Row],[Links]]=select!$I$2,1,0)</f>
        <v>0</v>
      </c>
      <c r="H124" s="46">
        <f>IF(IF(Tabelle1[[#This Row],[Anschrauben]]=1,1,IF(Tabelle1[[#This Row],[Einpressen]]=1,2,IF(Tabelle1[[#This Row],[Werkzeuglos]]=1,3,0)))=select!$E$7,1,0)</f>
        <v>0</v>
      </c>
      <c r="I124" s="46">
        <f ca="1">IF(Tabelle1[[#This Row],[Winkel]]+Tabelle1[[#This Row],[Kröpfung]]+Tabelle1[[#This Row],[Däpfung]]+Tabelle1[[#This Row],[Bohrbild]]+Tabelle1[[#This Row],[Scharnierbefestigung]]=5,1,0)</f>
        <v>0</v>
      </c>
      <c r="J124" t="str">
        <f ca="1">Sprache!$A$54</f>
        <v>TIOMOS hinge T-Impresso</v>
      </c>
      <c r="K124" t="s">
        <v>105</v>
      </c>
      <c r="L124" t="s">
        <v>73</v>
      </c>
      <c r="M124">
        <v>3</v>
      </c>
      <c r="N124" t="s">
        <v>13</v>
      </c>
      <c r="O124">
        <v>110</v>
      </c>
      <c r="P124">
        <v>0</v>
      </c>
      <c r="Q124">
        <v>1</v>
      </c>
      <c r="R124">
        <v>0</v>
      </c>
      <c r="S124">
        <v>0</v>
      </c>
      <c r="T124">
        <v>0</v>
      </c>
      <c r="U124">
        <v>1</v>
      </c>
      <c r="V124" s="14" t="s">
        <v>178</v>
      </c>
    </row>
    <row r="125" spans="1:22" ht="14.25" customHeight="1" x14ac:dyDescent="0.25">
      <c r="A125" s="48" t="str">
        <f>LEFT(Tabelle1[[#This Row],[Artikel'#]],4)</f>
        <v>F034</v>
      </c>
      <c r="B125" s="46" t="str">
        <f>MID(Tabelle1[[#This Row],[Artikel'#]],5,3)</f>
        <v>139</v>
      </c>
      <c r="C125" s="48" t="str">
        <f>RIGHT(Tabelle1[[#This Row],[Artikel'#]],3)</f>
        <v>386</v>
      </c>
      <c r="D125" s="46">
        <f>IF(Tabelle1[[#This Row],[Winkel2]]=select!$A$2,1,0)</f>
        <v>1</v>
      </c>
      <c r="E1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5" s="46">
        <f>IF(select!$E$16=IF(Tabelle1[[#This Row],[mit Dämpfung]]=1,1,IF(Tabelle1[[#This Row],[ohne Dämpfung]]=1,2,IF(Tabelle1[[#This Row],[ohne Feder]]=1,3,0))),1,0)</f>
        <v>0</v>
      </c>
      <c r="G125" s="46">
        <f>IF(Tabelle1[[#This Row],[Links]]=select!$I$2,1,0)</f>
        <v>1</v>
      </c>
      <c r="H125" s="46">
        <f>IF(IF(Tabelle1[[#This Row],[Anschrauben]]=1,1,IF(Tabelle1[[#This Row],[Einpressen]]=1,2,IF(Tabelle1[[#This Row],[Werkzeuglos]]=1,3,0)))=select!$E$7,1,0)</f>
        <v>0</v>
      </c>
      <c r="I125" s="46">
        <f ca="1">IF(Tabelle1[[#This Row],[Winkel]]+Tabelle1[[#This Row],[Kröpfung]]+Tabelle1[[#This Row],[Däpfung]]+Tabelle1[[#This Row],[Bohrbild]]+Tabelle1[[#This Row],[Scharnierbefestigung]]=5,1,0)</f>
        <v>0</v>
      </c>
      <c r="J125" t="str">
        <f ca="1">Sprache!$A$54</f>
        <v>TIOMOS hinge T-Impresso</v>
      </c>
      <c r="K125" t="s">
        <v>105</v>
      </c>
      <c r="L125" t="s">
        <v>73</v>
      </c>
      <c r="M125">
        <v>3</v>
      </c>
      <c r="N125" t="s">
        <v>3</v>
      </c>
      <c r="O125">
        <v>110</v>
      </c>
      <c r="P125">
        <v>0</v>
      </c>
      <c r="Q125">
        <v>1</v>
      </c>
      <c r="R125">
        <v>0</v>
      </c>
      <c r="S125">
        <v>0</v>
      </c>
      <c r="T125">
        <v>0</v>
      </c>
      <c r="U125">
        <v>1</v>
      </c>
      <c r="V125" s="14" t="s">
        <v>178</v>
      </c>
    </row>
    <row r="126" spans="1:22" ht="14.25" customHeight="1" x14ac:dyDescent="0.25">
      <c r="A126" s="48" t="str">
        <f>LEFT(Tabelle1[[#This Row],[Artikel'#]],4)</f>
        <v>F034</v>
      </c>
      <c r="B126" s="46" t="str">
        <f>MID(Tabelle1[[#This Row],[Artikel'#]],5,3)</f>
        <v>139</v>
      </c>
      <c r="C126" s="48" t="str">
        <f>RIGHT(Tabelle1[[#This Row],[Artikel'#]],3)</f>
        <v>387</v>
      </c>
      <c r="D126" s="46">
        <f>IF(Tabelle1[[#This Row],[Winkel2]]=select!$A$2,1,0)</f>
        <v>1</v>
      </c>
      <c r="E1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26" s="46">
        <f>IF(select!$E$16=IF(Tabelle1[[#This Row],[mit Dämpfung]]=1,1,IF(Tabelle1[[#This Row],[ohne Dämpfung]]=1,2,IF(Tabelle1[[#This Row],[ohne Feder]]=1,3,0))),1,0)</f>
        <v>0</v>
      </c>
      <c r="G126" s="46">
        <f>IF(Tabelle1[[#This Row],[Links]]=select!$I$2,1,0)</f>
        <v>0</v>
      </c>
      <c r="H126" s="46">
        <f>IF(IF(Tabelle1[[#This Row],[Anschrauben]]=1,1,IF(Tabelle1[[#This Row],[Einpressen]]=1,2,IF(Tabelle1[[#This Row],[Werkzeuglos]]=1,3,0)))=select!$E$7,1,0)</f>
        <v>0</v>
      </c>
      <c r="I126" s="46">
        <f ca="1">IF(Tabelle1[[#This Row],[Winkel]]+Tabelle1[[#This Row],[Kröpfung]]+Tabelle1[[#This Row],[Däpfung]]+Tabelle1[[#This Row],[Bohrbild]]+Tabelle1[[#This Row],[Scharnierbefestigung]]=5,1,0)</f>
        <v>0</v>
      </c>
      <c r="J126" t="str">
        <f ca="1">Sprache!$A$54</f>
        <v>TIOMOS hinge T-Impresso</v>
      </c>
      <c r="K126" t="s">
        <v>107</v>
      </c>
      <c r="L126" t="s">
        <v>73</v>
      </c>
      <c r="M126">
        <v>9.5</v>
      </c>
      <c r="N126" t="s">
        <v>13</v>
      </c>
      <c r="O126">
        <v>110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1</v>
      </c>
      <c r="V126" s="14" t="s">
        <v>179</v>
      </c>
    </row>
    <row r="127" spans="1:22" ht="14.25" customHeight="1" x14ac:dyDescent="0.25">
      <c r="A127" s="48" t="str">
        <f>LEFT(Tabelle1[[#This Row],[Artikel'#]],4)</f>
        <v>F034</v>
      </c>
      <c r="B127" s="46" t="str">
        <f>MID(Tabelle1[[#This Row],[Artikel'#]],5,3)</f>
        <v>139</v>
      </c>
      <c r="C127" s="48" t="str">
        <f>RIGHT(Tabelle1[[#This Row],[Artikel'#]],3)</f>
        <v>387</v>
      </c>
      <c r="D127" s="46">
        <f>IF(Tabelle1[[#This Row],[Winkel2]]=select!$A$2,1,0)</f>
        <v>1</v>
      </c>
      <c r="E1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27" s="46">
        <f>IF(select!$E$16=IF(Tabelle1[[#This Row],[mit Dämpfung]]=1,1,IF(Tabelle1[[#This Row],[ohne Dämpfung]]=1,2,IF(Tabelle1[[#This Row],[ohne Feder]]=1,3,0))),1,0)</f>
        <v>0</v>
      </c>
      <c r="G127" s="46">
        <f>IF(Tabelle1[[#This Row],[Links]]=select!$I$2,1,0)</f>
        <v>1</v>
      </c>
      <c r="H127" s="46">
        <f>IF(IF(Tabelle1[[#This Row],[Anschrauben]]=1,1,IF(Tabelle1[[#This Row],[Einpressen]]=1,2,IF(Tabelle1[[#This Row],[Werkzeuglos]]=1,3,0)))=select!$E$7,1,0)</f>
        <v>0</v>
      </c>
      <c r="I127" s="46">
        <f ca="1">IF(Tabelle1[[#This Row],[Winkel]]+Tabelle1[[#This Row],[Kröpfung]]+Tabelle1[[#This Row],[Däpfung]]+Tabelle1[[#This Row],[Bohrbild]]+Tabelle1[[#This Row],[Scharnierbefestigung]]=5,1,0)</f>
        <v>0</v>
      </c>
      <c r="J127" t="str">
        <f ca="1">Sprache!$A$54</f>
        <v>TIOMOS hinge T-Impresso</v>
      </c>
      <c r="K127" t="s">
        <v>107</v>
      </c>
      <c r="L127" t="s">
        <v>73</v>
      </c>
      <c r="M127">
        <v>9.5</v>
      </c>
      <c r="N127" t="s">
        <v>3</v>
      </c>
      <c r="O127">
        <v>110</v>
      </c>
      <c r="P127">
        <v>0</v>
      </c>
      <c r="Q127">
        <v>1</v>
      </c>
      <c r="R127">
        <v>0</v>
      </c>
      <c r="S127">
        <v>0</v>
      </c>
      <c r="T127">
        <v>0</v>
      </c>
      <c r="U127">
        <v>1</v>
      </c>
      <c r="V127" s="14" t="s">
        <v>179</v>
      </c>
    </row>
    <row r="128" spans="1:22" ht="14.25" customHeight="1" x14ac:dyDescent="0.25">
      <c r="A128" s="48" t="str">
        <f>LEFT(Tabelle1[[#This Row],[Artikel'#]],4)</f>
        <v>F034</v>
      </c>
      <c r="B128" s="46" t="str">
        <f>MID(Tabelle1[[#This Row],[Artikel'#]],5,3)</f>
        <v>139</v>
      </c>
      <c r="C128" s="48" t="str">
        <f>RIGHT(Tabelle1[[#This Row],[Artikel'#]],3)</f>
        <v>388</v>
      </c>
      <c r="D128" s="46">
        <f>IF(Tabelle1[[#This Row],[Winkel2]]=select!$A$2,1,0)</f>
        <v>1</v>
      </c>
      <c r="E1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8" s="46">
        <f>IF(select!$E$16=IF(Tabelle1[[#This Row],[mit Dämpfung]]=1,1,IF(Tabelle1[[#This Row],[ohne Dämpfung]]=1,2,IF(Tabelle1[[#This Row],[ohne Feder]]=1,3,0))),1,0)</f>
        <v>0</v>
      </c>
      <c r="G128" s="46">
        <f>IF(Tabelle1[[#This Row],[Links]]=select!$I$2,1,0)</f>
        <v>0</v>
      </c>
      <c r="H128" s="46">
        <f>IF(IF(Tabelle1[[#This Row],[Anschrauben]]=1,1,IF(Tabelle1[[#This Row],[Einpressen]]=1,2,IF(Tabelle1[[#This Row],[Werkzeuglos]]=1,3,0)))=select!$E$7,1,0)</f>
        <v>0</v>
      </c>
      <c r="I128" s="46">
        <f ca="1">IF(Tabelle1[[#This Row],[Winkel]]+Tabelle1[[#This Row],[Kröpfung]]+Tabelle1[[#This Row],[Däpfung]]+Tabelle1[[#This Row],[Bohrbild]]+Tabelle1[[#This Row],[Scharnierbefestigung]]=5,1,0)</f>
        <v>0</v>
      </c>
      <c r="J128" t="str">
        <f ca="1">Sprache!$A$54</f>
        <v>TIOMOS hinge T-Impresso</v>
      </c>
      <c r="K128" t="s">
        <v>109</v>
      </c>
      <c r="L128" t="s">
        <v>73</v>
      </c>
      <c r="M128">
        <v>19</v>
      </c>
      <c r="N128" t="s">
        <v>13</v>
      </c>
      <c r="O128">
        <v>110</v>
      </c>
      <c r="P128">
        <v>0</v>
      </c>
      <c r="Q128">
        <v>1</v>
      </c>
      <c r="R128">
        <v>0</v>
      </c>
      <c r="S128">
        <v>0</v>
      </c>
      <c r="T128">
        <v>0</v>
      </c>
      <c r="U128">
        <v>1</v>
      </c>
      <c r="V128" s="14" t="s">
        <v>180</v>
      </c>
    </row>
    <row r="129" spans="1:22" ht="14.25" customHeight="1" x14ac:dyDescent="0.25">
      <c r="A129" s="48" t="str">
        <f>LEFT(Tabelle1[[#This Row],[Artikel'#]],4)</f>
        <v>F034</v>
      </c>
      <c r="B129" s="46" t="str">
        <f>MID(Tabelle1[[#This Row],[Artikel'#]],5,3)</f>
        <v>139</v>
      </c>
      <c r="C129" s="48" t="str">
        <f>RIGHT(Tabelle1[[#This Row],[Artikel'#]],3)</f>
        <v>388</v>
      </c>
      <c r="D129" s="46">
        <f>IF(Tabelle1[[#This Row],[Winkel2]]=select!$A$2,1,0)</f>
        <v>1</v>
      </c>
      <c r="E1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29" s="46">
        <f>IF(select!$E$16=IF(Tabelle1[[#This Row],[mit Dämpfung]]=1,1,IF(Tabelle1[[#This Row],[ohne Dämpfung]]=1,2,IF(Tabelle1[[#This Row],[ohne Feder]]=1,3,0))),1,0)</f>
        <v>0</v>
      </c>
      <c r="G129" s="46">
        <f>IF(Tabelle1[[#This Row],[Links]]=select!$I$2,1,0)</f>
        <v>1</v>
      </c>
      <c r="H129" s="46">
        <f>IF(IF(Tabelle1[[#This Row],[Anschrauben]]=1,1,IF(Tabelle1[[#This Row],[Einpressen]]=1,2,IF(Tabelle1[[#This Row],[Werkzeuglos]]=1,3,0)))=select!$E$7,1,0)</f>
        <v>0</v>
      </c>
      <c r="I129" s="46">
        <f ca="1">IF(Tabelle1[[#This Row],[Winkel]]+Tabelle1[[#This Row],[Kröpfung]]+Tabelle1[[#This Row],[Däpfung]]+Tabelle1[[#This Row],[Bohrbild]]+Tabelle1[[#This Row],[Scharnierbefestigung]]=5,1,0)</f>
        <v>0</v>
      </c>
      <c r="J129" t="str">
        <f ca="1">Sprache!$A$54</f>
        <v>TIOMOS hinge T-Impresso</v>
      </c>
      <c r="K129" t="s">
        <v>109</v>
      </c>
      <c r="L129" t="s">
        <v>73</v>
      </c>
      <c r="M129">
        <v>19</v>
      </c>
      <c r="N129" t="s">
        <v>3</v>
      </c>
      <c r="O129">
        <v>110</v>
      </c>
      <c r="P129">
        <v>0</v>
      </c>
      <c r="Q129">
        <v>1</v>
      </c>
      <c r="R129">
        <v>0</v>
      </c>
      <c r="S129">
        <v>0</v>
      </c>
      <c r="T129">
        <v>0</v>
      </c>
      <c r="U129">
        <v>1</v>
      </c>
      <c r="V129" s="14" t="s">
        <v>180</v>
      </c>
    </row>
    <row r="130" spans="1:22" ht="14.25" customHeight="1" x14ac:dyDescent="0.25">
      <c r="A130" s="48" t="str">
        <f>LEFT(Tabelle1[[#This Row],[Artikel'#]],4)</f>
        <v>F034</v>
      </c>
      <c r="B130" s="46" t="str">
        <f>MID(Tabelle1[[#This Row],[Artikel'#]],5,3)</f>
        <v>139</v>
      </c>
      <c r="C130" s="48" t="str">
        <f>RIGHT(Tabelle1[[#This Row],[Artikel'#]],3)</f>
        <v>399</v>
      </c>
      <c r="D130" s="46">
        <f>IF(Tabelle1[[#This Row],[Winkel2]]=select!$A$2,1,0)</f>
        <v>0</v>
      </c>
      <c r="E1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0" s="46">
        <f>IF(select!$E$16=IF(Tabelle1[[#This Row],[mit Dämpfung]]=1,1,IF(Tabelle1[[#This Row],[ohne Dämpfung]]=1,2,IF(Tabelle1[[#This Row],[ohne Feder]]=1,3,0))),1,0)</f>
        <v>0</v>
      </c>
      <c r="G130" s="46">
        <f>IF(Tabelle1[[#This Row],[Links]]=select!$I$2,1,0)</f>
        <v>0</v>
      </c>
      <c r="H130" s="46">
        <f>IF(IF(Tabelle1[[#This Row],[Anschrauben]]=1,1,IF(Tabelle1[[#This Row],[Einpressen]]=1,2,IF(Tabelle1[[#This Row],[Werkzeuglos]]=1,3,0)))=select!$E$7,1,0)</f>
        <v>0</v>
      </c>
      <c r="I130" s="46">
        <f ca="1">IF(Tabelle1[[#This Row],[Winkel]]+Tabelle1[[#This Row],[Kröpfung]]+Tabelle1[[#This Row],[Däpfung]]+Tabelle1[[#This Row],[Bohrbild]]+Tabelle1[[#This Row],[Scharnierbefestigung]]=5,1,0)</f>
        <v>0</v>
      </c>
      <c r="J130" t="str">
        <f ca="1">Sprache!$A$54</f>
        <v>TIOMOS hinge T-Impresso</v>
      </c>
      <c r="K130" t="s">
        <v>111</v>
      </c>
      <c r="L130" t="s">
        <v>73</v>
      </c>
      <c r="M130">
        <v>0</v>
      </c>
      <c r="N130" t="s">
        <v>13</v>
      </c>
      <c r="O130">
        <v>120</v>
      </c>
      <c r="P130">
        <v>0</v>
      </c>
      <c r="Q130">
        <v>1</v>
      </c>
      <c r="R130">
        <v>0</v>
      </c>
      <c r="S130">
        <v>0</v>
      </c>
      <c r="T130">
        <v>0</v>
      </c>
      <c r="U130">
        <v>1</v>
      </c>
      <c r="V130" s="14" t="s">
        <v>181</v>
      </c>
    </row>
    <row r="131" spans="1:22" ht="14.25" customHeight="1" x14ac:dyDescent="0.25">
      <c r="A131" s="48" t="str">
        <f>LEFT(Tabelle1[[#This Row],[Artikel'#]],4)</f>
        <v>F034</v>
      </c>
      <c r="B131" s="46" t="str">
        <f>MID(Tabelle1[[#This Row],[Artikel'#]],5,3)</f>
        <v>139</v>
      </c>
      <c r="C131" s="48" t="str">
        <f>RIGHT(Tabelle1[[#This Row],[Artikel'#]],3)</f>
        <v>399</v>
      </c>
      <c r="D131" s="46">
        <f>IF(Tabelle1[[#This Row],[Winkel2]]=select!$A$2,1,0)</f>
        <v>0</v>
      </c>
      <c r="E1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1" s="46">
        <f>IF(select!$E$16=IF(Tabelle1[[#This Row],[mit Dämpfung]]=1,1,IF(Tabelle1[[#This Row],[ohne Dämpfung]]=1,2,IF(Tabelle1[[#This Row],[ohne Feder]]=1,3,0))),1,0)</f>
        <v>0</v>
      </c>
      <c r="G131" s="46">
        <f>IF(Tabelle1[[#This Row],[Links]]=select!$I$2,1,0)</f>
        <v>1</v>
      </c>
      <c r="H131" s="46">
        <f>IF(IF(Tabelle1[[#This Row],[Anschrauben]]=1,1,IF(Tabelle1[[#This Row],[Einpressen]]=1,2,IF(Tabelle1[[#This Row],[Werkzeuglos]]=1,3,0)))=select!$E$7,1,0)</f>
        <v>0</v>
      </c>
      <c r="I131" s="46">
        <f ca="1">IF(Tabelle1[[#This Row],[Winkel]]+Tabelle1[[#This Row],[Kröpfung]]+Tabelle1[[#This Row],[Däpfung]]+Tabelle1[[#This Row],[Bohrbild]]+Tabelle1[[#This Row],[Scharnierbefestigung]]=5,1,0)</f>
        <v>0</v>
      </c>
      <c r="J131" t="str">
        <f ca="1">Sprache!$A$54</f>
        <v>TIOMOS hinge T-Impresso</v>
      </c>
      <c r="K131" t="s">
        <v>111</v>
      </c>
      <c r="L131" t="s">
        <v>73</v>
      </c>
      <c r="M131">
        <v>0</v>
      </c>
      <c r="N131" t="s">
        <v>3</v>
      </c>
      <c r="O131">
        <v>120</v>
      </c>
      <c r="P131">
        <v>0</v>
      </c>
      <c r="Q131">
        <v>1</v>
      </c>
      <c r="R131">
        <v>0</v>
      </c>
      <c r="S131">
        <v>0</v>
      </c>
      <c r="T131">
        <v>0</v>
      </c>
      <c r="U131">
        <v>1</v>
      </c>
      <c r="V131" s="14" t="s">
        <v>181</v>
      </c>
    </row>
    <row r="132" spans="1:22" ht="14.25" customHeight="1" x14ac:dyDescent="0.25">
      <c r="A132" s="48" t="str">
        <f>LEFT(Tabelle1[[#This Row],[Artikel'#]],4)</f>
        <v>F034</v>
      </c>
      <c r="B132" s="46" t="str">
        <f>MID(Tabelle1[[#This Row],[Artikel'#]],5,3)</f>
        <v>139</v>
      </c>
      <c r="C132" s="48" t="str">
        <f>RIGHT(Tabelle1[[#This Row],[Artikel'#]],3)</f>
        <v>400</v>
      </c>
      <c r="D132" s="46">
        <f>IF(Tabelle1[[#This Row],[Winkel2]]=select!$A$2,1,0)</f>
        <v>0</v>
      </c>
      <c r="E1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2" s="46">
        <f>IF(select!$E$16=IF(Tabelle1[[#This Row],[mit Dämpfung]]=1,1,IF(Tabelle1[[#This Row],[ohne Dämpfung]]=1,2,IF(Tabelle1[[#This Row],[ohne Feder]]=1,3,0))),1,0)</f>
        <v>0</v>
      </c>
      <c r="G132" s="46">
        <f>IF(Tabelle1[[#This Row],[Links]]=select!$I$2,1,0)</f>
        <v>0</v>
      </c>
      <c r="H132" s="46">
        <f>IF(IF(Tabelle1[[#This Row],[Anschrauben]]=1,1,IF(Tabelle1[[#This Row],[Einpressen]]=1,2,IF(Tabelle1[[#This Row],[Werkzeuglos]]=1,3,0)))=select!$E$7,1,0)</f>
        <v>0</v>
      </c>
      <c r="I132" s="46">
        <f ca="1">IF(Tabelle1[[#This Row],[Winkel]]+Tabelle1[[#This Row],[Kröpfung]]+Tabelle1[[#This Row],[Däpfung]]+Tabelle1[[#This Row],[Bohrbild]]+Tabelle1[[#This Row],[Scharnierbefestigung]]=5,1,0)</f>
        <v>0</v>
      </c>
      <c r="J132" t="str">
        <f ca="1">Sprache!$A$54</f>
        <v>TIOMOS hinge T-Impresso</v>
      </c>
      <c r="K132" t="s">
        <v>113</v>
      </c>
      <c r="L132" t="s">
        <v>73</v>
      </c>
      <c r="M132">
        <v>3</v>
      </c>
      <c r="N132" t="s">
        <v>13</v>
      </c>
      <c r="O132">
        <v>120</v>
      </c>
      <c r="P132">
        <v>0</v>
      </c>
      <c r="Q132">
        <v>1</v>
      </c>
      <c r="R132">
        <v>0</v>
      </c>
      <c r="S132">
        <v>0</v>
      </c>
      <c r="T132">
        <v>0</v>
      </c>
      <c r="U132">
        <v>1</v>
      </c>
      <c r="V132" s="14" t="s">
        <v>182</v>
      </c>
    </row>
    <row r="133" spans="1:22" ht="14.25" customHeight="1" x14ac:dyDescent="0.25">
      <c r="A133" s="48" t="str">
        <f>LEFT(Tabelle1[[#This Row],[Artikel'#]],4)</f>
        <v>F034</v>
      </c>
      <c r="B133" s="46" t="str">
        <f>MID(Tabelle1[[#This Row],[Artikel'#]],5,3)</f>
        <v>139</v>
      </c>
      <c r="C133" s="48" t="str">
        <f>RIGHT(Tabelle1[[#This Row],[Artikel'#]],3)</f>
        <v>400</v>
      </c>
      <c r="D133" s="46">
        <f>IF(Tabelle1[[#This Row],[Winkel2]]=select!$A$2,1,0)</f>
        <v>0</v>
      </c>
      <c r="E1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3" s="46">
        <f>IF(select!$E$16=IF(Tabelle1[[#This Row],[mit Dämpfung]]=1,1,IF(Tabelle1[[#This Row],[ohne Dämpfung]]=1,2,IF(Tabelle1[[#This Row],[ohne Feder]]=1,3,0))),1,0)</f>
        <v>0</v>
      </c>
      <c r="G133" s="46">
        <f>IF(Tabelle1[[#This Row],[Links]]=select!$I$2,1,0)</f>
        <v>1</v>
      </c>
      <c r="H133" s="46">
        <f>IF(IF(Tabelle1[[#This Row],[Anschrauben]]=1,1,IF(Tabelle1[[#This Row],[Einpressen]]=1,2,IF(Tabelle1[[#This Row],[Werkzeuglos]]=1,3,0)))=select!$E$7,1,0)</f>
        <v>0</v>
      </c>
      <c r="I133" s="46">
        <f ca="1">IF(Tabelle1[[#This Row],[Winkel]]+Tabelle1[[#This Row],[Kröpfung]]+Tabelle1[[#This Row],[Däpfung]]+Tabelle1[[#This Row],[Bohrbild]]+Tabelle1[[#This Row],[Scharnierbefestigung]]=5,1,0)</f>
        <v>0</v>
      </c>
      <c r="J133" t="str">
        <f ca="1">Sprache!$A$54</f>
        <v>TIOMOS hinge T-Impresso</v>
      </c>
      <c r="K133" t="s">
        <v>113</v>
      </c>
      <c r="L133" t="s">
        <v>73</v>
      </c>
      <c r="M133">
        <v>3</v>
      </c>
      <c r="N133" t="s">
        <v>3</v>
      </c>
      <c r="O133">
        <v>120</v>
      </c>
      <c r="P133">
        <v>0</v>
      </c>
      <c r="Q133">
        <v>1</v>
      </c>
      <c r="R133">
        <v>0</v>
      </c>
      <c r="S133">
        <v>0</v>
      </c>
      <c r="T133">
        <v>0</v>
      </c>
      <c r="U133">
        <v>1</v>
      </c>
      <c r="V133" s="14" t="s">
        <v>182</v>
      </c>
    </row>
    <row r="134" spans="1:22" ht="14.25" customHeight="1" x14ac:dyDescent="0.25">
      <c r="A134" s="48" t="str">
        <f>LEFT(Tabelle1[[#This Row],[Artikel'#]],4)</f>
        <v>F034</v>
      </c>
      <c r="B134" s="46" t="str">
        <f>MID(Tabelle1[[#This Row],[Artikel'#]],5,3)</f>
        <v>139</v>
      </c>
      <c r="C134" s="48" t="str">
        <f>RIGHT(Tabelle1[[#This Row],[Artikel'#]],3)</f>
        <v>401</v>
      </c>
      <c r="D134" s="46">
        <f>IF(Tabelle1[[#This Row],[Winkel2]]=select!$A$2,1,0)</f>
        <v>0</v>
      </c>
      <c r="E1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34" s="46">
        <f>IF(select!$E$16=IF(Tabelle1[[#This Row],[mit Dämpfung]]=1,1,IF(Tabelle1[[#This Row],[ohne Dämpfung]]=1,2,IF(Tabelle1[[#This Row],[ohne Feder]]=1,3,0))),1,0)</f>
        <v>0</v>
      </c>
      <c r="G134" s="46">
        <f>IF(Tabelle1[[#This Row],[Links]]=select!$I$2,1,0)</f>
        <v>0</v>
      </c>
      <c r="H134" s="46">
        <f>IF(IF(Tabelle1[[#This Row],[Anschrauben]]=1,1,IF(Tabelle1[[#This Row],[Einpressen]]=1,2,IF(Tabelle1[[#This Row],[Werkzeuglos]]=1,3,0)))=select!$E$7,1,0)</f>
        <v>0</v>
      </c>
      <c r="I134" s="46">
        <f ca="1">IF(Tabelle1[[#This Row],[Winkel]]+Tabelle1[[#This Row],[Kröpfung]]+Tabelle1[[#This Row],[Däpfung]]+Tabelle1[[#This Row],[Bohrbild]]+Tabelle1[[#This Row],[Scharnierbefestigung]]=5,1,0)</f>
        <v>0</v>
      </c>
      <c r="J134" t="str">
        <f ca="1">Sprache!$A$54</f>
        <v>TIOMOS hinge T-Impresso</v>
      </c>
      <c r="K134" t="s">
        <v>115</v>
      </c>
      <c r="L134" t="s">
        <v>73</v>
      </c>
      <c r="M134">
        <v>9.5</v>
      </c>
      <c r="N134" t="s">
        <v>13</v>
      </c>
      <c r="O134">
        <v>120</v>
      </c>
      <c r="P134">
        <v>0</v>
      </c>
      <c r="Q134">
        <v>1</v>
      </c>
      <c r="R134">
        <v>0</v>
      </c>
      <c r="S134">
        <v>0</v>
      </c>
      <c r="T134">
        <v>0</v>
      </c>
      <c r="U134">
        <v>1</v>
      </c>
      <c r="V134" s="14" t="s">
        <v>183</v>
      </c>
    </row>
    <row r="135" spans="1:22" ht="14.25" customHeight="1" x14ac:dyDescent="0.25">
      <c r="A135" s="48" t="str">
        <f>LEFT(Tabelle1[[#This Row],[Artikel'#]],4)</f>
        <v>F034</v>
      </c>
      <c r="B135" s="46" t="str">
        <f>MID(Tabelle1[[#This Row],[Artikel'#]],5,3)</f>
        <v>139</v>
      </c>
      <c r="C135" s="48" t="str">
        <f>RIGHT(Tabelle1[[#This Row],[Artikel'#]],3)</f>
        <v>401</v>
      </c>
      <c r="D135" s="46">
        <f>IF(Tabelle1[[#This Row],[Winkel2]]=select!$A$2,1,0)</f>
        <v>0</v>
      </c>
      <c r="E1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35" s="46">
        <f>IF(select!$E$16=IF(Tabelle1[[#This Row],[mit Dämpfung]]=1,1,IF(Tabelle1[[#This Row],[ohne Dämpfung]]=1,2,IF(Tabelle1[[#This Row],[ohne Feder]]=1,3,0))),1,0)</f>
        <v>0</v>
      </c>
      <c r="G135" s="46">
        <f>IF(Tabelle1[[#This Row],[Links]]=select!$I$2,1,0)</f>
        <v>1</v>
      </c>
      <c r="H135" s="46">
        <f>IF(IF(Tabelle1[[#This Row],[Anschrauben]]=1,1,IF(Tabelle1[[#This Row],[Einpressen]]=1,2,IF(Tabelle1[[#This Row],[Werkzeuglos]]=1,3,0)))=select!$E$7,1,0)</f>
        <v>0</v>
      </c>
      <c r="I135" s="46">
        <f ca="1">IF(Tabelle1[[#This Row],[Winkel]]+Tabelle1[[#This Row],[Kröpfung]]+Tabelle1[[#This Row],[Däpfung]]+Tabelle1[[#This Row],[Bohrbild]]+Tabelle1[[#This Row],[Scharnierbefestigung]]=5,1,0)</f>
        <v>0</v>
      </c>
      <c r="J135" t="str">
        <f ca="1">Sprache!$A$54</f>
        <v>TIOMOS hinge T-Impresso</v>
      </c>
      <c r="K135" t="s">
        <v>115</v>
      </c>
      <c r="L135" t="s">
        <v>73</v>
      </c>
      <c r="M135">
        <v>9.5</v>
      </c>
      <c r="N135" t="s">
        <v>3</v>
      </c>
      <c r="O135">
        <v>120</v>
      </c>
      <c r="P135">
        <v>0</v>
      </c>
      <c r="Q135">
        <v>1</v>
      </c>
      <c r="R135">
        <v>0</v>
      </c>
      <c r="S135">
        <v>0</v>
      </c>
      <c r="T135">
        <v>0</v>
      </c>
      <c r="U135">
        <v>1</v>
      </c>
      <c r="V135" s="14" t="s">
        <v>183</v>
      </c>
    </row>
    <row r="136" spans="1:22" ht="14.25" customHeight="1" x14ac:dyDescent="0.25">
      <c r="A136" s="48" t="str">
        <f>LEFT(Tabelle1[[#This Row],[Artikel'#]],4)</f>
        <v>F034</v>
      </c>
      <c r="B136" s="46" t="str">
        <f>MID(Tabelle1[[#This Row],[Artikel'#]],5,3)</f>
        <v>139</v>
      </c>
      <c r="C136" s="48" t="str">
        <f>RIGHT(Tabelle1[[#This Row],[Artikel'#]],3)</f>
        <v>406</v>
      </c>
      <c r="D136" s="46">
        <f>IF(Tabelle1[[#This Row],[Winkel2]]=select!$A$2,1,0)</f>
        <v>0</v>
      </c>
      <c r="E1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6" s="46">
        <f>IF(select!$E$16=IF(Tabelle1[[#This Row],[mit Dämpfung]]=1,1,IF(Tabelle1[[#This Row],[ohne Dämpfung]]=1,2,IF(Tabelle1[[#This Row],[ohne Feder]]=1,3,0))),1,0)</f>
        <v>0</v>
      </c>
      <c r="G136" s="46">
        <f>IF(Tabelle1[[#This Row],[Links]]=select!$I$2,1,0)</f>
        <v>0</v>
      </c>
      <c r="H136" s="46">
        <f>IF(IF(Tabelle1[[#This Row],[Anschrauben]]=1,1,IF(Tabelle1[[#This Row],[Einpressen]]=1,2,IF(Tabelle1[[#This Row],[Werkzeuglos]]=1,3,0)))=select!$E$7,1,0)</f>
        <v>0</v>
      </c>
      <c r="I136" s="46">
        <f ca="1">IF(Tabelle1[[#This Row],[Winkel]]+Tabelle1[[#This Row],[Kröpfung]]+Tabelle1[[#This Row],[Däpfung]]+Tabelle1[[#This Row],[Bohrbild]]+Tabelle1[[#This Row],[Scharnierbefestigung]]=5,1,0)</f>
        <v>0</v>
      </c>
      <c r="J136" t="str">
        <f ca="1">Sprache!$A$54</f>
        <v>TIOMOS hinge T-Impresso</v>
      </c>
      <c r="K136" t="s">
        <v>117</v>
      </c>
      <c r="L136" t="s">
        <v>73</v>
      </c>
      <c r="M136">
        <v>0</v>
      </c>
      <c r="N136" s="13" t="s">
        <v>13</v>
      </c>
      <c r="O136">
        <v>160</v>
      </c>
      <c r="P136">
        <v>0</v>
      </c>
      <c r="Q136">
        <v>1</v>
      </c>
      <c r="R136">
        <v>0</v>
      </c>
      <c r="S136">
        <v>0</v>
      </c>
      <c r="T136">
        <v>0</v>
      </c>
      <c r="U136">
        <v>1</v>
      </c>
      <c r="V136" s="14" t="s">
        <v>184</v>
      </c>
    </row>
    <row r="137" spans="1:22" ht="14.25" customHeight="1" x14ac:dyDescent="0.25">
      <c r="A137" s="48" t="str">
        <f>LEFT(Tabelle1[[#This Row],[Artikel'#]],4)</f>
        <v>F034</v>
      </c>
      <c r="B137" s="46" t="str">
        <f>MID(Tabelle1[[#This Row],[Artikel'#]],5,3)</f>
        <v>139</v>
      </c>
      <c r="C137" s="48" t="str">
        <f>RIGHT(Tabelle1[[#This Row],[Artikel'#]],3)</f>
        <v>406</v>
      </c>
      <c r="D137" s="46">
        <f>IF(Tabelle1[[#This Row],[Winkel2]]=select!$A$2,1,0)</f>
        <v>0</v>
      </c>
      <c r="E1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7" s="46">
        <f>IF(select!$E$16=IF(Tabelle1[[#This Row],[mit Dämpfung]]=1,1,IF(Tabelle1[[#This Row],[ohne Dämpfung]]=1,2,IF(Tabelle1[[#This Row],[ohne Feder]]=1,3,0))),1,0)</f>
        <v>0</v>
      </c>
      <c r="G137" s="46">
        <f>IF(Tabelle1[[#This Row],[Links]]=select!$I$2,1,0)</f>
        <v>1</v>
      </c>
      <c r="H137" s="46">
        <f>IF(IF(Tabelle1[[#This Row],[Anschrauben]]=1,1,IF(Tabelle1[[#This Row],[Einpressen]]=1,2,IF(Tabelle1[[#This Row],[Werkzeuglos]]=1,3,0)))=select!$E$7,1,0)</f>
        <v>0</v>
      </c>
      <c r="I137" s="46">
        <f ca="1">IF(Tabelle1[[#This Row],[Winkel]]+Tabelle1[[#This Row],[Kröpfung]]+Tabelle1[[#This Row],[Däpfung]]+Tabelle1[[#This Row],[Bohrbild]]+Tabelle1[[#This Row],[Scharnierbefestigung]]=5,1,0)</f>
        <v>0</v>
      </c>
      <c r="J137" t="str">
        <f ca="1">Sprache!$A$54</f>
        <v>TIOMOS hinge T-Impresso</v>
      </c>
      <c r="K137" t="s">
        <v>117</v>
      </c>
      <c r="L137" t="s">
        <v>73</v>
      </c>
      <c r="M137">
        <v>0</v>
      </c>
      <c r="N137" s="13" t="s">
        <v>3</v>
      </c>
      <c r="O137">
        <v>160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1</v>
      </c>
      <c r="V137" s="14" t="s">
        <v>184</v>
      </c>
    </row>
    <row r="138" spans="1:22" ht="14.25" customHeight="1" x14ac:dyDescent="0.25">
      <c r="A138" s="48" t="str">
        <f>LEFT(Tabelle1[[#This Row],[Artikel'#]],4)</f>
        <v>F034</v>
      </c>
      <c r="B138" s="46" t="str">
        <f>MID(Tabelle1[[#This Row],[Artikel'#]],5,3)</f>
        <v>139</v>
      </c>
      <c r="C138" s="48" t="str">
        <f>RIGHT(Tabelle1[[#This Row],[Artikel'#]],3)</f>
        <v>407</v>
      </c>
      <c r="D138" s="46">
        <f>IF(Tabelle1[[#This Row],[Winkel2]]=select!$A$2,1,0)</f>
        <v>0</v>
      </c>
      <c r="E1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8" s="46">
        <f>IF(select!$E$16=IF(Tabelle1[[#This Row],[mit Dämpfung]]=1,1,IF(Tabelle1[[#This Row],[ohne Dämpfung]]=1,2,IF(Tabelle1[[#This Row],[ohne Feder]]=1,3,0))),1,0)</f>
        <v>0</v>
      </c>
      <c r="G138" s="46">
        <f>IF(Tabelle1[[#This Row],[Links]]=select!$I$2,1,0)</f>
        <v>0</v>
      </c>
      <c r="H138" s="46">
        <f>IF(IF(Tabelle1[[#This Row],[Anschrauben]]=1,1,IF(Tabelle1[[#This Row],[Einpressen]]=1,2,IF(Tabelle1[[#This Row],[Werkzeuglos]]=1,3,0)))=select!$E$7,1,0)</f>
        <v>0</v>
      </c>
      <c r="I138" s="46">
        <f ca="1">IF(Tabelle1[[#This Row],[Winkel]]+Tabelle1[[#This Row],[Kröpfung]]+Tabelle1[[#This Row],[Däpfung]]+Tabelle1[[#This Row],[Bohrbild]]+Tabelle1[[#This Row],[Scharnierbefestigung]]=5,1,0)</f>
        <v>0</v>
      </c>
      <c r="J138" t="str">
        <f ca="1">Sprache!$A$54</f>
        <v>TIOMOS hinge T-Impresso</v>
      </c>
      <c r="K138" t="s">
        <v>119</v>
      </c>
      <c r="L138" t="s">
        <v>73</v>
      </c>
      <c r="M138">
        <v>3</v>
      </c>
      <c r="N138" t="s">
        <v>13</v>
      </c>
      <c r="O138">
        <v>160</v>
      </c>
      <c r="P138">
        <v>0</v>
      </c>
      <c r="Q138">
        <v>1</v>
      </c>
      <c r="R138">
        <v>0</v>
      </c>
      <c r="S138">
        <v>0</v>
      </c>
      <c r="T138">
        <v>0</v>
      </c>
      <c r="U138">
        <v>1</v>
      </c>
      <c r="V138" s="14" t="s">
        <v>185</v>
      </c>
    </row>
    <row r="139" spans="1:22" ht="14.25" customHeight="1" x14ac:dyDescent="0.25">
      <c r="A139" s="48" t="str">
        <f>LEFT(Tabelle1[[#This Row],[Artikel'#]],4)</f>
        <v>F034</v>
      </c>
      <c r="B139" s="46" t="str">
        <f>MID(Tabelle1[[#This Row],[Artikel'#]],5,3)</f>
        <v>139</v>
      </c>
      <c r="C139" s="48" t="str">
        <f>RIGHT(Tabelle1[[#This Row],[Artikel'#]],3)</f>
        <v>407</v>
      </c>
      <c r="D139" s="46">
        <f>IF(Tabelle1[[#This Row],[Winkel2]]=select!$A$2,1,0)</f>
        <v>0</v>
      </c>
      <c r="E1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39" s="46">
        <f>IF(select!$E$16=IF(Tabelle1[[#This Row],[mit Dämpfung]]=1,1,IF(Tabelle1[[#This Row],[ohne Dämpfung]]=1,2,IF(Tabelle1[[#This Row],[ohne Feder]]=1,3,0))),1,0)</f>
        <v>0</v>
      </c>
      <c r="G139" s="46">
        <f>IF(Tabelle1[[#This Row],[Links]]=select!$I$2,1,0)</f>
        <v>1</v>
      </c>
      <c r="H139" s="46">
        <f>IF(IF(Tabelle1[[#This Row],[Anschrauben]]=1,1,IF(Tabelle1[[#This Row],[Einpressen]]=1,2,IF(Tabelle1[[#This Row],[Werkzeuglos]]=1,3,0)))=select!$E$7,1,0)</f>
        <v>0</v>
      </c>
      <c r="I139" s="46">
        <f ca="1">IF(Tabelle1[[#This Row],[Winkel]]+Tabelle1[[#This Row],[Kröpfung]]+Tabelle1[[#This Row],[Däpfung]]+Tabelle1[[#This Row],[Bohrbild]]+Tabelle1[[#This Row],[Scharnierbefestigung]]=5,1,0)</f>
        <v>0</v>
      </c>
      <c r="J139" t="str">
        <f ca="1">Sprache!$A$54</f>
        <v>TIOMOS hinge T-Impresso</v>
      </c>
      <c r="K139" t="s">
        <v>119</v>
      </c>
      <c r="L139" t="s">
        <v>73</v>
      </c>
      <c r="M139">
        <v>3</v>
      </c>
      <c r="N139" t="s">
        <v>3</v>
      </c>
      <c r="O139">
        <v>160</v>
      </c>
      <c r="P139">
        <v>0</v>
      </c>
      <c r="Q139">
        <v>1</v>
      </c>
      <c r="R139">
        <v>0</v>
      </c>
      <c r="S139">
        <v>0</v>
      </c>
      <c r="T139">
        <v>0</v>
      </c>
      <c r="U139">
        <v>1</v>
      </c>
      <c r="V139" s="14" t="s">
        <v>185</v>
      </c>
    </row>
    <row r="140" spans="1:22" ht="14.25" customHeight="1" x14ac:dyDescent="0.25">
      <c r="A140" s="48" t="str">
        <f>LEFT(Tabelle1[[#This Row],[Artikel'#]],4)</f>
        <v>F034</v>
      </c>
      <c r="B140" s="46" t="str">
        <f>MID(Tabelle1[[#This Row],[Artikel'#]],5,3)</f>
        <v>139</v>
      </c>
      <c r="C140" s="48" t="str">
        <f>RIGHT(Tabelle1[[#This Row],[Artikel'#]],3)</f>
        <v>408</v>
      </c>
      <c r="D140" s="46">
        <f>IF(Tabelle1[[#This Row],[Winkel2]]=select!$A$2,1,0)</f>
        <v>0</v>
      </c>
      <c r="E1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40" s="46">
        <f>IF(select!$E$16=IF(Tabelle1[[#This Row],[mit Dämpfung]]=1,1,IF(Tabelle1[[#This Row],[ohne Dämpfung]]=1,2,IF(Tabelle1[[#This Row],[ohne Feder]]=1,3,0))),1,0)</f>
        <v>0</v>
      </c>
      <c r="G140" s="46">
        <f>IF(Tabelle1[[#This Row],[Links]]=select!$I$2,1,0)</f>
        <v>0</v>
      </c>
      <c r="H140" s="46">
        <f>IF(IF(Tabelle1[[#This Row],[Anschrauben]]=1,1,IF(Tabelle1[[#This Row],[Einpressen]]=1,2,IF(Tabelle1[[#This Row],[Werkzeuglos]]=1,3,0)))=select!$E$7,1,0)</f>
        <v>0</v>
      </c>
      <c r="I140" s="46">
        <f ca="1">IF(Tabelle1[[#This Row],[Winkel]]+Tabelle1[[#This Row],[Kröpfung]]+Tabelle1[[#This Row],[Däpfung]]+Tabelle1[[#This Row],[Bohrbild]]+Tabelle1[[#This Row],[Scharnierbefestigung]]=5,1,0)</f>
        <v>0</v>
      </c>
      <c r="J140" t="str">
        <f ca="1">Sprache!$A$54</f>
        <v>TIOMOS hinge T-Impresso</v>
      </c>
      <c r="K140" t="s">
        <v>121</v>
      </c>
      <c r="L140" t="s">
        <v>73</v>
      </c>
      <c r="M140">
        <v>9.5</v>
      </c>
      <c r="N140" t="s">
        <v>13</v>
      </c>
      <c r="O140">
        <v>160</v>
      </c>
      <c r="P140">
        <v>0</v>
      </c>
      <c r="Q140">
        <v>1</v>
      </c>
      <c r="R140">
        <v>0</v>
      </c>
      <c r="S140">
        <v>0</v>
      </c>
      <c r="T140">
        <v>0</v>
      </c>
      <c r="U140">
        <v>1</v>
      </c>
      <c r="V140" s="14" t="s">
        <v>186</v>
      </c>
    </row>
    <row r="141" spans="1:22" ht="14.25" customHeight="1" x14ac:dyDescent="0.25">
      <c r="A141" s="48" t="str">
        <f>LEFT(Tabelle1[[#This Row],[Artikel'#]],4)</f>
        <v>F034</v>
      </c>
      <c r="B141" s="46" t="str">
        <f>MID(Tabelle1[[#This Row],[Artikel'#]],5,3)</f>
        <v>139</v>
      </c>
      <c r="C141" s="48" t="str">
        <f>RIGHT(Tabelle1[[#This Row],[Artikel'#]],3)</f>
        <v>408</v>
      </c>
      <c r="D141" s="46">
        <f>IF(Tabelle1[[#This Row],[Winkel2]]=select!$A$2,1,0)</f>
        <v>0</v>
      </c>
      <c r="E1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41" s="46">
        <f>IF(select!$E$16=IF(Tabelle1[[#This Row],[mit Dämpfung]]=1,1,IF(Tabelle1[[#This Row],[ohne Dämpfung]]=1,2,IF(Tabelle1[[#This Row],[ohne Feder]]=1,3,0))),1,0)</f>
        <v>0</v>
      </c>
      <c r="G141" s="46">
        <f>IF(Tabelle1[[#This Row],[Links]]=select!$I$2,1,0)</f>
        <v>1</v>
      </c>
      <c r="H141" s="46">
        <f>IF(IF(Tabelle1[[#This Row],[Anschrauben]]=1,1,IF(Tabelle1[[#This Row],[Einpressen]]=1,2,IF(Tabelle1[[#This Row],[Werkzeuglos]]=1,3,0)))=select!$E$7,1,0)</f>
        <v>0</v>
      </c>
      <c r="I141" s="46">
        <f ca="1">IF(Tabelle1[[#This Row],[Winkel]]+Tabelle1[[#This Row],[Kröpfung]]+Tabelle1[[#This Row],[Däpfung]]+Tabelle1[[#This Row],[Bohrbild]]+Tabelle1[[#This Row],[Scharnierbefestigung]]=5,1,0)</f>
        <v>0</v>
      </c>
      <c r="J141" t="str">
        <f ca="1">Sprache!$A$54</f>
        <v>TIOMOS hinge T-Impresso</v>
      </c>
      <c r="K141" t="s">
        <v>121</v>
      </c>
      <c r="L141" t="s">
        <v>73</v>
      </c>
      <c r="M141">
        <v>9.5</v>
      </c>
      <c r="N141" t="s">
        <v>3</v>
      </c>
      <c r="O141">
        <v>160</v>
      </c>
      <c r="P141">
        <v>0</v>
      </c>
      <c r="Q141">
        <v>1</v>
      </c>
      <c r="R141">
        <v>0</v>
      </c>
      <c r="S141">
        <v>0</v>
      </c>
      <c r="T141">
        <v>0</v>
      </c>
      <c r="U141">
        <v>1</v>
      </c>
      <c r="V141" s="14" t="s">
        <v>186</v>
      </c>
    </row>
    <row r="142" spans="1:22" ht="14.25" customHeight="1" x14ac:dyDescent="0.25">
      <c r="A142" s="48" t="str">
        <f>LEFT(Tabelle1[[#This Row],[Artikel'#]],4)</f>
        <v>F034</v>
      </c>
      <c r="B142" s="46" t="str">
        <f>MID(Tabelle1[[#This Row],[Artikel'#]],5,3)</f>
        <v>139</v>
      </c>
      <c r="C142" s="48" t="str">
        <f>RIGHT(Tabelle1[[#This Row],[Artikel'#]],3)</f>
        <v>409</v>
      </c>
      <c r="D142" s="46">
        <f>IF(Tabelle1[[#This Row],[Winkel2]]=select!$A$2,1,0)</f>
        <v>0</v>
      </c>
      <c r="E1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2" s="46">
        <f>IF(select!$E$16=IF(Tabelle1[[#This Row],[mit Dämpfung]]=1,1,IF(Tabelle1[[#This Row],[ohne Dämpfung]]=1,2,IF(Tabelle1[[#This Row],[ohne Feder]]=1,3,0))),1,0)</f>
        <v>0</v>
      </c>
      <c r="G142" s="46">
        <f>IF(Tabelle1[[#This Row],[Links]]=select!$I$2,1,0)</f>
        <v>0</v>
      </c>
      <c r="H142" s="46">
        <f>IF(IF(Tabelle1[[#This Row],[Anschrauben]]=1,1,IF(Tabelle1[[#This Row],[Einpressen]]=1,2,IF(Tabelle1[[#This Row],[Werkzeuglos]]=1,3,0)))=select!$E$7,1,0)</f>
        <v>0</v>
      </c>
      <c r="I142" s="46">
        <f ca="1">IF(Tabelle1[[#This Row],[Winkel]]+Tabelle1[[#This Row],[Kröpfung]]+Tabelle1[[#This Row],[Däpfung]]+Tabelle1[[#This Row],[Bohrbild]]+Tabelle1[[#This Row],[Scharnierbefestigung]]=5,1,0)</f>
        <v>0</v>
      </c>
      <c r="J142" t="str">
        <f ca="1">Sprache!$A$54</f>
        <v>TIOMOS hinge T-Impresso</v>
      </c>
      <c r="K142" t="s">
        <v>123</v>
      </c>
      <c r="L142" t="s">
        <v>73</v>
      </c>
      <c r="M142">
        <v>0</v>
      </c>
      <c r="N142" t="s">
        <v>13</v>
      </c>
      <c r="O142">
        <v>95</v>
      </c>
      <c r="P142">
        <v>0</v>
      </c>
      <c r="Q142">
        <v>1</v>
      </c>
      <c r="R142">
        <v>0</v>
      </c>
      <c r="S142">
        <v>0</v>
      </c>
      <c r="T142">
        <v>0</v>
      </c>
      <c r="U142">
        <v>1</v>
      </c>
      <c r="V142" s="14" t="s">
        <v>187</v>
      </c>
    </row>
    <row r="143" spans="1:22" ht="14.25" customHeight="1" x14ac:dyDescent="0.25">
      <c r="A143" s="48" t="str">
        <f>LEFT(Tabelle1[[#This Row],[Artikel'#]],4)</f>
        <v>F034</v>
      </c>
      <c r="B143" s="46" t="str">
        <f>MID(Tabelle1[[#This Row],[Artikel'#]],5,3)</f>
        <v>139</v>
      </c>
      <c r="C143" s="48" t="str">
        <f>RIGHT(Tabelle1[[#This Row],[Artikel'#]],3)</f>
        <v>409</v>
      </c>
      <c r="D143" s="46">
        <f>IF(Tabelle1[[#This Row],[Winkel2]]=select!$A$2,1,0)</f>
        <v>0</v>
      </c>
      <c r="E1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3" s="46">
        <f>IF(select!$E$16=IF(Tabelle1[[#This Row],[mit Dämpfung]]=1,1,IF(Tabelle1[[#This Row],[ohne Dämpfung]]=1,2,IF(Tabelle1[[#This Row],[ohne Feder]]=1,3,0))),1,0)</f>
        <v>0</v>
      </c>
      <c r="G143" s="46">
        <f>IF(Tabelle1[[#This Row],[Links]]=select!$I$2,1,0)</f>
        <v>1</v>
      </c>
      <c r="H143" s="46">
        <f>IF(IF(Tabelle1[[#This Row],[Anschrauben]]=1,1,IF(Tabelle1[[#This Row],[Einpressen]]=1,2,IF(Tabelle1[[#This Row],[Werkzeuglos]]=1,3,0)))=select!$E$7,1,0)</f>
        <v>0</v>
      </c>
      <c r="I143" s="46">
        <f ca="1">IF(Tabelle1[[#This Row],[Winkel]]+Tabelle1[[#This Row],[Kröpfung]]+Tabelle1[[#This Row],[Däpfung]]+Tabelle1[[#This Row],[Bohrbild]]+Tabelle1[[#This Row],[Scharnierbefestigung]]=5,1,0)</f>
        <v>0</v>
      </c>
      <c r="J143" t="str">
        <f ca="1">Sprache!$A$54</f>
        <v>TIOMOS hinge T-Impresso</v>
      </c>
      <c r="K143" t="s">
        <v>123</v>
      </c>
      <c r="L143" t="s">
        <v>73</v>
      </c>
      <c r="M143">
        <v>0</v>
      </c>
      <c r="N143" t="s">
        <v>3</v>
      </c>
      <c r="O143">
        <v>95</v>
      </c>
      <c r="P143">
        <v>0</v>
      </c>
      <c r="Q143">
        <v>1</v>
      </c>
      <c r="R143">
        <v>0</v>
      </c>
      <c r="S143">
        <v>0</v>
      </c>
      <c r="T143">
        <v>0</v>
      </c>
      <c r="U143">
        <v>1</v>
      </c>
      <c r="V143" s="14" t="s">
        <v>187</v>
      </c>
    </row>
    <row r="144" spans="1:22" ht="14.25" customHeight="1" x14ac:dyDescent="0.25">
      <c r="A144" s="48" t="str">
        <f>LEFT(Tabelle1[[#This Row],[Artikel'#]],4)</f>
        <v>F034</v>
      </c>
      <c r="B144" s="46" t="str">
        <f>MID(Tabelle1[[#This Row],[Artikel'#]],5,3)</f>
        <v>139</v>
      </c>
      <c r="C144" s="48" t="str">
        <f>RIGHT(Tabelle1[[#This Row],[Artikel'#]],3)</f>
        <v>410</v>
      </c>
      <c r="D144" s="46">
        <f>IF(Tabelle1[[#This Row],[Winkel2]]=select!$A$2,1,0)</f>
        <v>0</v>
      </c>
      <c r="E1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4" s="46">
        <f>IF(select!$E$16=IF(Tabelle1[[#This Row],[mit Dämpfung]]=1,1,IF(Tabelle1[[#This Row],[ohne Dämpfung]]=1,2,IF(Tabelle1[[#This Row],[ohne Feder]]=1,3,0))),1,0)</f>
        <v>0</v>
      </c>
      <c r="G144" s="46">
        <f>IF(Tabelle1[[#This Row],[Links]]=select!$I$2,1,0)</f>
        <v>0</v>
      </c>
      <c r="H144" s="46">
        <f>IF(IF(Tabelle1[[#This Row],[Anschrauben]]=1,1,IF(Tabelle1[[#This Row],[Einpressen]]=1,2,IF(Tabelle1[[#This Row],[Werkzeuglos]]=1,3,0)))=select!$E$7,1,0)</f>
        <v>0</v>
      </c>
      <c r="I144" s="46">
        <f ca="1">IF(Tabelle1[[#This Row],[Winkel]]+Tabelle1[[#This Row],[Kröpfung]]+Tabelle1[[#This Row],[Däpfung]]+Tabelle1[[#This Row],[Bohrbild]]+Tabelle1[[#This Row],[Scharnierbefestigung]]=5,1,0)</f>
        <v>0</v>
      </c>
      <c r="J144" t="str">
        <f ca="1">Sprache!$A$54</f>
        <v>TIOMOS hinge T-Impresso</v>
      </c>
      <c r="K144" t="s">
        <v>125</v>
      </c>
      <c r="L144" t="s">
        <v>73</v>
      </c>
      <c r="M144">
        <v>3</v>
      </c>
      <c r="N144" t="s">
        <v>13</v>
      </c>
      <c r="O144">
        <v>95</v>
      </c>
      <c r="P144">
        <v>0</v>
      </c>
      <c r="Q144">
        <v>1</v>
      </c>
      <c r="R144">
        <v>0</v>
      </c>
      <c r="S144">
        <v>0</v>
      </c>
      <c r="T144">
        <v>0</v>
      </c>
      <c r="U144">
        <v>1</v>
      </c>
      <c r="V144" s="14" t="s">
        <v>188</v>
      </c>
    </row>
    <row r="145" spans="1:22" ht="14.25" customHeight="1" x14ac:dyDescent="0.25">
      <c r="A145" s="48" t="str">
        <f>LEFT(Tabelle1[[#This Row],[Artikel'#]],4)</f>
        <v>F034</v>
      </c>
      <c r="B145" s="46" t="str">
        <f>MID(Tabelle1[[#This Row],[Artikel'#]],5,3)</f>
        <v>139</v>
      </c>
      <c r="C145" s="48" t="str">
        <f>RIGHT(Tabelle1[[#This Row],[Artikel'#]],3)</f>
        <v>410</v>
      </c>
      <c r="D145" s="46">
        <f>IF(Tabelle1[[#This Row],[Winkel2]]=select!$A$2,1,0)</f>
        <v>0</v>
      </c>
      <c r="E1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5" s="46">
        <f>IF(select!$E$16=IF(Tabelle1[[#This Row],[mit Dämpfung]]=1,1,IF(Tabelle1[[#This Row],[ohne Dämpfung]]=1,2,IF(Tabelle1[[#This Row],[ohne Feder]]=1,3,0))),1,0)</f>
        <v>0</v>
      </c>
      <c r="G145" s="46">
        <f>IF(Tabelle1[[#This Row],[Links]]=select!$I$2,1,0)</f>
        <v>1</v>
      </c>
      <c r="H145" s="46">
        <f>IF(IF(Tabelle1[[#This Row],[Anschrauben]]=1,1,IF(Tabelle1[[#This Row],[Einpressen]]=1,2,IF(Tabelle1[[#This Row],[Werkzeuglos]]=1,3,0)))=select!$E$7,1,0)</f>
        <v>0</v>
      </c>
      <c r="I145" s="46">
        <f ca="1">IF(Tabelle1[[#This Row],[Winkel]]+Tabelle1[[#This Row],[Kröpfung]]+Tabelle1[[#This Row],[Däpfung]]+Tabelle1[[#This Row],[Bohrbild]]+Tabelle1[[#This Row],[Scharnierbefestigung]]=5,1,0)</f>
        <v>0</v>
      </c>
      <c r="J145" t="str">
        <f ca="1">Sprache!$A$54</f>
        <v>TIOMOS hinge T-Impresso</v>
      </c>
      <c r="K145" t="s">
        <v>125</v>
      </c>
      <c r="L145" t="s">
        <v>73</v>
      </c>
      <c r="M145">
        <v>3</v>
      </c>
      <c r="N145" t="s">
        <v>3</v>
      </c>
      <c r="O145">
        <v>95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1</v>
      </c>
      <c r="V145" s="14" t="s">
        <v>188</v>
      </c>
    </row>
    <row r="146" spans="1:22" ht="14.25" customHeight="1" x14ac:dyDescent="0.25">
      <c r="A146" s="48" t="str">
        <f>LEFT(Tabelle1[[#This Row],[Artikel'#]],4)</f>
        <v>F034</v>
      </c>
      <c r="B146" s="46" t="str">
        <f>MID(Tabelle1[[#This Row],[Artikel'#]],5,3)</f>
        <v>139</v>
      </c>
      <c r="C146" s="48" t="str">
        <f>RIGHT(Tabelle1[[#This Row],[Artikel'#]],3)</f>
        <v>411</v>
      </c>
      <c r="D146" s="46">
        <f>IF(Tabelle1[[#This Row],[Winkel2]]=select!$A$2,1,0)</f>
        <v>0</v>
      </c>
      <c r="E1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46" s="46">
        <f>IF(select!$E$16=IF(Tabelle1[[#This Row],[mit Dämpfung]]=1,1,IF(Tabelle1[[#This Row],[ohne Dämpfung]]=1,2,IF(Tabelle1[[#This Row],[ohne Feder]]=1,3,0))),1,0)</f>
        <v>0</v>
      </c>
      <c r="G146" s="46">
        <f>IF(Tabelle1[[#This Row],[Links]]=select!$I$2,1,0)</f>
        <v>0</v>
      </c>
      <c r="H146" s="46">
        <f>IF(IF(Tabelle1[[#This Row],[Anschrauben]]=1,1,IF(Tabelle1[[#This Row],[Einpressen]]=1,2,IF(Tabelle1[[#This Row],[Werkzeuglos]]=1,3,0)))=select!$E$7,1,0)</f>
        <v>0</v>
      </c>
      <c r="I146" s="46">
        <f ca="1">IF(Tabelle1[[#This Row],[Winkel]]+Tabelle1[[#This Row],[Kröpfung]]+Tabelle1[[#This Row],[Däpfung]]+Tabelle1[[#This Row],[Bohrbild]]+Tabelle1[[#This Row],[Scharnierbefestigung]]=5,1,0)</f>
        <v>0</v>
      </c>
      <c r="J146" t="str">
        <f ca="1">Sprache!$A$54</f>
        <v>TIOMOS hinge T-Impresso</v>
      </c>
      <c r="K146" t="s">
        <v>127</v>
      </c>
      <c r="L146" t="s">
        <v>73</v>
      </c>
      <c r="M146">
        <v>9.5</v>
      </c>
      <c r="N146" t="s">
        <v>13</v>
      </c>
      <c r="O146">
        <v>95</v>
      </c>
      <c r="P146">
        <v>0</v>
      </c>
      <c r="Q146">
        <v>1</v>
      </c>
      <c r="R146">
        <v>0</v>
      </c>
      <c r="S146">
        <v>0</v>
      </c>
      <c r="T146">
        <v>0</v>
      </c>
      <c r="U146">
        <v>1</v>
      </c>
      <c r="V146" s="14" t="s">
        <v>189</v>
      </c>
    </row>
    <row r="147" spans="1:22" ht="14.25" customHeight="1" x14ac:dyDescent="0.25">
      <c r="A147" s="48" t="str">
        <f>LEFT(Tabelle1[[#This Row],[Artikel'#]],4)</f>
        <v>F034</v>
      </c>
      <c r="B147" s="46" t="str">
        <f>MID(Tabelle1[[#This Row],[Artikel'#]],5,3)</f>
        <v>139</v>
      </c>
      <c r="C147" s="48" t="str">
        <f>RIGHT(Tabelle1[[#This Row],[Artikel'#]],3)</f>
        <v>411</v>
      </c>
      <c r="D147" s="46">
        <f>IF(Tabelle1[[#This Row],[Winkel2]]=select!$A$2,1,0)</f>
        <v>0</v>
      </c>
      <c r="E1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47" s="46">
        <f>IF(select!$E$16=IF(Tabelle1[[#This Row],[mit Dämpfung]]=1,1,IF(Tabelle1[[#This Row],[ohne Dämpfung]]=1,2,IF(Tabelle1[[#This Row],[ohne Feder]]=1,3,0))),1,0)</f>
        <v>0</v>
      </c>
      <c r="G147" s="46">
        <f>IF(Tabelle1[[#This Row],[Links]]=select!$I$2,1,0)</f>
        <v>1</v>
      </c>
      <c r="H147" s="46">
        <f>IF(IF(Tabelle1[[#This Row],[Anschrauben]]=1,1,IF(Tabelle1[[#This Row],[Einpressen]]=1,2,IF(Tabelle1[[#This Row],[Werkzeuglos]]=1,3,0)))=select!$E$7,1,0)</f>
        <v>0</v>
      </c>
      <c r="I147" s="46">
        <f ca="1">IF(Tabelle1[[#This Row],[Winkel]]+Tabelle1[[#This Row],[Kröpfung]]+Tabelle1[[#This Row],[Däpfung]]+Tabelle1[[#This Row],[Bohrbild]]+Tabelle1[[#This Row],[Scharnierbefestigung]]=5,1,0)</f>
        <v>0</v>
      </c>
      <c r="J147" t="str">
        <f ca="1">Sprache!$A$54</f>
        <v>TIOMOS hinge T-Impresso</v>
      </c>
      <c r="K147" t="s">
        <v>127</v>
      </c>
      <c r="L147" t="s">
        <v>73</v>
      </c>
      <c r="M147">
        <v>9.5</v>
      </c>
      <c r="N147" t="s">
        <v>3</v>
      </c>
      <c r="O147">
        <v>95</v>
      </c>
      <c r="P147">
        <v>0</v>
      </c>
      <c r="Q147">
        <v>1</v>
      </c>
      <c r="R147">
        <v>0</v>
      </c>
      <c r="S147">
        <v>0</v>
      </c>
      <c r="T147">
        <v>0</v>
      </c>
      <c r="U147">
        <v>1</v>
      </c>
      <c r="V147" s="14" t="s">
        <v>189</v>
      </c>
    </row>
    <row r="148" spans="1:22" ht="14.25" customHeight="1" x14ac:dyDescent="0.25">
      <c r="A148" s="48" t="str">
        <f>LEFT(Tabelle1[[#This Row],[Artikel'#]],4)</f>
        <v>F034</v>
      </c>
      <c r="B148" s="46" t="str">
        <f>MID(Tabelle1[[#This Row],[Artikel'#]],5,3)</f>
        <v>139</v>
      </c>
      <c r="C148" s="48" t="str">
        <f>RIGHT(Tabelle1[[#This Row],[Artikel'#]],3)</f>
        <v>412</v>
      </c>
      <c r="D148" s="46">
        <f>IF(Tabelle1[[#This Row],[Winkel2]]=select!$A$2,1,0)</f>
        <v>0</v>
      </c>
      <c r="E1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8" s="46">
        <f>IF(select!$E$16=IF(Tabelle1[[#This Row],[mit Dämpfung]]=1,1,IF(Tabelle1[[#This Row],[ohne Dämpfung]]=1,2,IF(Tabelle1[[#This Row],[ohne Feder]]=1,3,0))),1,0)</f>
        <v>0</v>
      </c>
      <c r="G148" s="46">
        <f>IF(Tabelle1[[#This Row],[Links]]=select!$I$2,1,0)</f>
        <v>0</v>
      </c>
      <c r="H148" s="46">
        <f>IF(IF(Tabelle1[[#This Row],[Anschrauben]]=1,1,IF(Tabelle1[[#This Row],[Einpressen]]=1,2,IF(Tabelle1[[#This Row],[Werkzeuglos]]=1,3,0)))=select!$E$7,1,0)</f>
        <v>0</v>
      </c>
      <c r="I148" s="46">
        <f ca="1">IF(Tabelle1[[#This Row],[Winkel]]+Tabelle1[[#This Row],[Kröpfung]]+Tabelle1[[#This Row],[Däpfung]]+Tabelle1[[#This Row],[Bohrbild]]+Tabelle1[[#This Row],[Scharnierbefestigung]]=5,1,0)</f>
        <v>0</v>
      </c>
      <c r="J148" t="str">
        <f ca="1">Sprache!$A$54</f>
        <v>TIOMOS hinge T-Impresso</v>
      </c>
      <c r="K148" t="s">
        <v>129</v>
      </c>
      <c r="L148" t="s">
        <v>73</v>
      </c>
      <c r="M148">
        <v>19</v>
      </c>
      <c r="N148" t="s">
        <v>13</v>
      </c>
      <c r="O148">
        <v>95</v>
      </c>
      <c r="P148">
        <v>0</v>
      </c>
      <c r="Q148">
        <v>1</v>
      </c>
      <c r="R148">
        <v>0</v>
      </c>
      <c r="S148">
        <v>0</v>
      </c>
      <c r="T148">
        <v>0</v>
      </c>
      <c r="U148">
        <v>1</v>
      </c>
      <c r="V148" s="14" t="s">
        <v>190</v>
      </c>
    </row>
    <row r="149" spans="1:22" ht="14.25" customHeight="1" x14ac:dyDescent="0.25">
      <c r="A149" s="48" t="str">
        <f>LEFT(Tabelle1[[#This Row],[Artikel'#]],4)</f>
        <v>F034</v>
      </c>
      <c r="B149" s="46" t="str">
        <f>MID(Tabelle1[[#This Row],[Artikel'#]],5,3)</f>
        <v>139</v>
      </c>
      <c r="C149" s="48" t="str">
        <f>RIGHT(Tabelle1[[#This Row],[Artikel'#]],3)</f>
        <v>412</v>
      </c>
      <c r="D149" s="46">
        <f>IF(Tabelle1[[#This Row],[Winkel2]]=select!$A$2,1,0)</f>
        <v>0</v>
      </c>
      <c r="E1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49" s="46">
        <f>IF(select!$E$16=IF(Tabelle1[[#This Row],[mit Dämpfung]]=1,1,IF(Tabelle1[[#This Row],[ohne Dämpfung]]=1,2,IF(Tabelle1[[#This Row],[ohne Feder]]=1,3,0))),1,0)</f>
        <v>0</v>
      </c>
      <c r="G149" s="46">
        <f>IF(Tabelle1[[#This Row],[Links]]=select!$I$2,1,0)</f>
        <v>1</v>
      </c>
      <c r="H149" s="46">
        <f>IF(IF(Tabelle1[[#This Row],[Anschrauben]]=1,1,IF(Tabelle1[[#This Row],[Einpressen]]=1,2,IF(Tabelle1[[#This Row],[Werkzeuglos]]=1,3,0)))=select!$E$7,1,0)</f>
        <v>0</v>
      </c>
      <c r="I149" s="46">
        <f ca="1">IF(Tabelle1[[#This Row],[Winkel]]+Tabelle1[[#This Row],[Kröpfung]]+Tabelle1[[#This Row],[Däpfung]]+Tabelle1[[#This Row],[Bohrbild]]+Tabelle1[[#This Row],[Scharnierbefestigung]]=5,1,0)</f>
        <v>0</v>
      </c>
      <c r="J149" t="str">
        <f ca="1">Sprache!$A$54</f>
        <v>TIOMOS hinge T-Impresso</v>
      </c>
      <c r="K149" t="s">
        <v>129</v>
      </c>
      <c r="L149" t="s">
        <v>73</v>
      </c>
      <c r="M149">
        <v>19</v>
      </c>
      <c r="N149" t="s">
        <v>3</v>
      </c>
      <c r="O149">
        <v>95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1</v>
      </c>
      <c r="V149" s="14" t="s">
        <v>190</v>
      </c>
    </row>
    <row r="150" spans="1:22" ht="14.25" customHeight="1" x14ac:dyDescent="0.25">
      <c r="A150" s="48" t="str">
        <f>LEFT(Tabelle1[[#This Row],[Artikel'#]],4)</f>
        <v>F034</v>
      </c>
      <c r="B150" s="46" t="str">
        <f>MID(Tabelle1[[#This Row],[Artikel'#]],5,3)</f>
        <v>139</v>
      </c>
      <c r="C150" s="48" t="str">
        <f>RIGHT(Tabelle1[[#This Row],[Artikel'#]],3)</f>
        <v>470</v>
      </c>
      <c r="D150" s="46">
        <f>IF(Tabelle1[[#This Row],[Winkel2]]=select!$A$2,1,0)</f>
        <v>1</v>
      </c>
      <c r="E1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0" s="46">
        <f>IF(select!$E$16=IF(Tabelle1[[#This Row],[mit Dämpfung]]=1,1,IF(Tabelle1[[#This Row],[ohne Dämpfung]]=1,2,IF(Tabelle1[[#This Row],[ohne Feder]]=1,3,0))),1,0)</f>
        <v>0</v>
      </c>
      <c r="G150" s="46">
        <f>IF(Tabelle1[[#This Row],[Links]]=select!$I$2,1,0)</f>
        <v>0</v>
      </c>
      <c r="H150" s="46">
        <f>IF(IF(Tabelle1[[#This Row],[Anschrauben]]=1,1,IF(Tabelle1[[#This Row],[Einpressen]]=1,2,IF(Tabelle1[[#This Row],[Werkzeuglos]]=1,3,0)))=select!$E$7,1,0)</f>
        <v>0</v>
      </c>
      <c r="I150" s="46">
        <f ca="1">IF(Tabelle1[[#This Row],[Winkel]]+Tabelle1[[#This Row],[Kröpfung]]+Tabelle1[[#This Row],[Däpfung]]+Tabelle1[[#This Row],[Bohrbild]]+Tabelle1[[#This Row],[Scharnierbefestigung]]=5,1,0)</f>
        <v>0</v>
      </c>
      <c r="J150" t="str">
        <f ca="1">Sprache!$A$54</f>
        <v>TIOMOS hinge T-Impresso</v>
      </c>
      <c r="K150" t="s">
        <v>131</v>
      </c>
      <c r="L150" t="s">
        <v>73</v>
      </c>
      <c r="M150">
        <v>0</v>
      </c>
      <c r="N150" t="s">
        <v>14</v>
      </c>
      <c r="O150">
        <v>110</v>
      </c>
      <c r="P150">
        <v>0</v>
      </c>
      <c r="Q150">
        <v>1</v>
      </c>
      <c r="R150">
        <v>0</v>
      </c>
      <c r="S150">
        <v>0</v>
      </c>
      <c r="T150">
        <v>0</v>
      </c>
      <c r="U150">
        <v>1</v>
      </c>
      <c r="V150" s="14" t="s">
        <v>191</v>
      </c>
    </row>
    <row r="151" spans="1:22" ht="14.25" customHeight="1" x14ac:dyDescent="0.25">
      <c r="A151" s="48" t="str">
        <f>LEFT(Tabelle1[[#This Row],[Artikel'#]],4)</f>
        <v>F034</v>
      </c>
      <c r="B151" s="46" t="str">
        <f>MID(Tabelle1[[#This Row],[Artikel'#]],5,3)</f>
        <v>139</v>
      </c>
      <c r="C151" s="48" t="str">
        <f>RIGHT(Tabelle1[[#This Row],[Artikel'#]],3)</f>
        <v>470</v>
      </c>
      <c r="D151" s="46">
        <f>IF(Tabelle1[[#This Row],[Winkel2]]=select!$A$2,1,0)</f>
        <v>1</v>
      </c>
      <c r="E1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1" s="46">
        <f>IF(select!$E$16=IF(Tabelle1[[#This Row],[mit Dämpfung]]=1,1,IF(Tabelle1[[#This Row],[ohne Dämpfung]]=1,2,IF(Tabelle1[[#This Row],[ohne Feder]]=1,3,0))),1,0)</f>
        <v>0</v>
      </c>
      <c r="G151" s="46">
        <f>IF(Tabelle1[[#This Row],[Links]]=select!$I$2,1,0)</f>
        <v>0</v>
      </c>
      <c r="H151" s="46">
        <f>IF(IF(Tabelle1[[#This Row],[Anschrauben]]=1,1,IF(Tabelle1[[#This Row],[Einpressen]]=1,2,IF(Tabelle1[[#This Row],[Werkzeuglos]]=1,3,0)))=select!$E$7,1,0)</f>
        <v>0</v>
      </c>
      <c r="I151" s="46">
        <f ca="1">IF(Tabelle1[[#This Row],[Winkel]]+Tabelle1[[#This Row],[Kröpfung]]+Tabelle1[[#This Row],[Däpfung]]+Tabelle1[[#This Row],[Bohrbild]]+Tabelle1[[#This Row],[Scharnierbefestigung]]=5,1,0)</f>
        <v>0</v>
      </c>
      <c r="J151" t="str">
        <f ca="1">Sprache!$A$54</f>
        <v>TIOMOS hinge T-Impresso</v>
      </c>
      <c r="K151" t="s">
        <v>131</v>
      </c>
      <c r="L151" t="s">
        <v>73</v>
      </c>
      <c r="M151">
        <v>0</v>
      </c>
      <c r="N151" t="s">
        <v>15</v>
      </c>
      <c r="O151">
        <v>110</v>
      </c>
      <c r="P151">
        <v>0</v>
      </c>
      <c r="Q151">
        <v>1</v>
      </c>
      <c r="R151">
        <v>0</v>
      </c>
      <c r="S151">
        <v>0</v>
      </c>
      <c r="T151">
        <v>0</v>
      </c>
      <c r="U151">
        <v>1</v>
      </c>
      <c r="V151" s="14" t="s">
        <v>191</v>
      </c>
    </row>
    <row r="152" spans="1:22" ht="14.25" customHeight="1" x14ac:dyDescent="0.25">
      <c r="A152" s="48" t="str">
        <f>LEFT(Tabelle1[[#This Row],[Artikel'#]],4)</f>
        <v>F034</v>
      </c>
      <c r="B152" s="46" t="str">
        <f>MID(Tabelle1[[#This Row],[Artikel'#]],5,3)</f>
        <v>139</v>
      </c>
      <c r="C152" s="48" t="str">
        <f>RIGHT(Tabelle1[[#This Row],[Artikel'#]],3)</f>
        <v>471</v>
      </c>
      <c r="D152" s="46">
        <f>IF(Tabelle1[[#This Row],[Winkel2]]=select!$A$2,1,0)</f>
        <v>1</v>
      </c>
      <c r="E1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2" s="46">
        <f>IF(select!$E$16=IF(Tabelle1[[#This Row],[mit Dämpfung]]=1,1,IF(Tabelle1[[#This Row],[ohne Dämpfung]]=1,2,IF(Tabelle1[[#This Row],[ohne Feder]]=1,3,0))),1,0)</f>
        <v>0</v>
      </c>
      <c r="G152" s="46">
        <f>IF(Tabelle1[[#This Row],[Links]]=select!$I$2,1,0)</f>
        <v>0</v>
      </c>
      <c r="H152" s="46">
        <f>IF(IF(Tabelle1[[#This Row],[Anschrauben]]=1,1,IF(Tabelle1[[#This Row],[Einpressen]]=1,2,IF(Tabelle1[[#This Row],[Werkzeuglos]]=1,3,0)))=select!$E$7,1,0)</f>
        <v>0</v>
      </c>
      <c r="I152" s="46">
        <f ca="1">IF(Tabelle1[[#This Row],[Winkel]]+Tabelle1[[#This Row],[Kröpfung]]+Tabelle1[[#This Row],[Däpfung]]+Tabelle1[[#This Row],[Bohrbild]]+Tabelle1[[#This Row],[Scharnierbefestigung]]=5,1,0)</f>
        <v>0</v>
      </c>
      <c r="J152" t="str">
        <f ca="1">Sprache!$A$54</f>
        <v>TIOMOS hinge T-Impresso</v>
      </c>
      <c r="K152" t="s">
        <v>133</v>
      </c>
      <c r="L152" t="s">
        <v>73</v>
      </c>
      <c r="M152">
        <v>3</v>
      </c>
      <c r="N152" t="s">
        <v>14</v>
      </c>
      <c r="O152">
        <v>110</v>
      </c>
      <c r="P152">
        <v>0</v>
      </c>
      <c r="Q152">
        <v>1</v>
      </c>
      <c r="R152">
        <v>0</v>
      </c>
      <c r="S152">
        <v>0</v>
      </c>
      <c r="T152">
        <v>0</v>
      </c>
      <c r="U152">
        <v>1</v>
      </c>
      <c r="V152" s="14" t="s">
        <v>192</v>
      </c>
    </row>
    <row r="153" spans="1:22" ht="14.25" customHeight="1" x14ac:dyDescent="0.25">
      <c r="A153" s="48" t="str">
        <f>LEFT(Tabelle1[[#This Row],[Artikel'#]],4)</f>
        <v>F034</v>
      </c>
      <c r="B153" s="46" t="str">
        <f>MID(Tabelle1[[#This Row],[Artikel'#]],5,3)</f>
        <v>139</v>
      </c>
      <c r="C153" s="48" t="str">
        <f>RIGHT(Tabelle1[[#This Row],[Artikel'#]],3)</f>
        <v>471</v>
      </c>
      <c r="D153" s="46">
        <f>IF(Tabelle1[[#This Row],[Winkel2]]=select!$A$2,1,0)</f>
        <v>1</v>
      </c>
      <c r="E1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3" s="46">
        <f>IF(select!$E$16=IF(Tabelle1[[#This Row],[mit Dämpfung]]=1,1,IF(Tabelle1[[#This Row],[ohne Dämpfung]]=1,2,IF(Tabelle1[[#This Row],[ohne Feder]]=1,3,0))),1,0)</f>
        <v>0</v>
      </c>
      <c r="G153" s="46">
        <f>IF(Tabelle1[[#This Row],[Links]]=select!$I$2,1,0)</f>
        <v>0</v>
      </c>
      <c r="H153" s="46">
        <f>IF(IF(Tabelle1[[#This Row],[Anschrauben]]=1,1,IF(Tabelle1[[#This Row],[Einpressen]]=1,2,IF(Tabelle1[[#This Row],[Werkzeuglos]]=1,3,0)))=select!$E$7,1,0)</f>
        <v>0</v>
      </c>
      <c r="I153" s="46">
        <f ca="1">IF(Tabelle1[[#This Row],[Winkel]]+Tabelle1[[#This Row],[Kröpfung]]+Tabelle1[[#This Row],[Däpfung]]+Tabelle1[[#This Row],[Bohrbild]]+Tabelle1[[#This Row],[Scharnierbefestigung]]=5,1,0)</f>
        <v>0</v>
      </c>
      <c r="J153" t="str">
        <f ca="1">Sprache!$A$54</f>
        <v>TIOMOS hinge T-Impresso</v>
      </c>
      <c r="K153" t="s">
        <v>133</v>
      </c>
      <c r="L153" t="s">
        <v>73</v>
      </c>
      <c r="M153">
        <v>3</v>
      </c>
      <c r="N153" t="s">
        <v>15</v>
      </c>
      <c r="O153">
        <v>110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1</v>
      </c>
      <c r="V153" s="14" t="s">
        <v>192</v>
      </c>
    </row>
    <row r="154" spans="1:22" ht="14.25" customHeight="1" x14ac:dyDescent="0.25">
      <c r="A154" s="48" t="str">
        <f>LEFT(Tabelle1[[#This Row],[Artikel'#]],4)</f>
        <v>F034</v>
      </c>
      <c r="B154" s="46" t="str">
        <f>MID(Tabelle1[[#This Row],[Artikel'#]],5,3)</f>
        <v>139</v>
      </c>
      <c r="C154" s="48" t="str">
        <f>RIGHT(Tabelle1[[#This Row],[Artikel'#]],3)</f>
        <v>472</v>
      </c>
      <c r="D154" s="46">
        <f>IF(Tabelle1[[#This Row],[Winkel2]]=select!$A$2,1,0)</f>
        <v>1</v>
      </c>
      <c r="E1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54" s="46">
        <f>IF(select!$E$16=IF(Tabelle1[[#This Row],[mit Dämpfung]]=1,1,IF(Tabelle1[[#This Row],[ohne Dämpfung]]=1,2,IF(Tabelle1[[#This Row],[ohne Feder]]=1,3,0))),1,0)</f>
        <v>0</v>
      </c>
      <c r="G154" s="46">
        <f>IF(Tabelle1[[#This Row],[Links]]=select!$I$2,1,0)</f>
        <v>0</v>
      </c>
      <c r="H154" s="46">
        <f>IF(IF(Tabelle1[[#This Row],[Anschrauben]]=1,1,IF(Tabelle1[[#This Row],[Einpressen]]=1,2,IF(Tabelle1[[#This Row],[Werkzeuglos]]=1,3,0)))=select!$E$7,1,0)</f>
        <v>0</v>
      </c>
      <c r="I154" s="46">
        <f ca="1">IF(Tabelle1[[#This Row],[Winkel]]+Tabelle1[[#This Row],[Kröpfung]]+Tabelle1[[#This Row],[Däpfung]]+Tabelle1[[#This Row],[Bohrbild]]+Tabelle1[[#This Row],[Scharnierbefestigung]]=5,1,0)</f>
        <v>0</v>
      </c>
      <c r="J154" t="str">
        <f ca="1">Sprache!$A$54</f>
        <v>TIOMOS hinge T-Impresso</v>
      </c>
      <c r="K154" t="s">
        <v>135</v>
      </c>
      <c r="L154" t="s">
        <v>73</v>
      </c>
      <c r="M154">
        <v>9.5</v>
      </c>
      <c r="N154" t="s">
        <v>14</v>
      </c>
      <c r="O154">
        <v>110</v>
      </c>
      <c r="P154">
        <v>0</v>
      </c>
      <c r="Q154">
        <v>1</v>
      </c>
      <c r="R154">
        <v>0</v>
      </c>
      <c r="S154">
        <v>0</v>
      </c>
      <c r="T154">
        <v>0</v>
      </c>
      <c r="U154">
        <v>1</v>
      </c>
      <c r="V154" s="14" t="s">
        <v>193</v>
      </c>
    </row>
    <row r="155" spans="1:22" ht="14.25" customHeight="1" x14ac:dyDescent="0.25">
      <c r="A155" s="48" t="str">
        <f>LEFT(Tabelle1[[#This Row],[Artikel'#]],4)</f>
        <v>F034</v>
      </c>
      <c r="B155" s="46" t="str">
        <f>MID(Tabelle1[[#This Row],[Artikel'#]],5,3)</f>
        <v>139</v>
      </c>
      <c r="C155" s="48" t="str">
        <f>RIGHT(Tabelle1[[#This Row],[Artikel'#]],3)</f>
        <v>472</v>
      </c>
      <c r="D155" s="46">
        <f>IF(Tabelle1[[#This Row],[Winkel2]]=select!$A$2,1,0)</f>
        <v>1</v>
      </c>
      <c r="E1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55" s="46">
        <f>IF(select!$E$16=IF(Tabelle1[[#This Row],[mit Dämpfung]]=1,1,IF(Tabelle1[[#This Row],[ohne Dämpfung]]=1,2,IF(Tabelle1[[#This Row],[ohne Feder]]=1,3,0))),1,0)</f>
        <v>0</v>
      </c>
      <c r="G155" s="46">
        <f>IF(Tabelle1[[#This Row],[Links]]=select!$I$2,1,0)</f>
        <v>0</v>
      </c>
      <c r="H155" s="46">
        <f>IF(IF(Tabelle1[[#This Row],[Anschrauben]]=1,1,IF(Tabelle1[[#This Row],[Einpressen]]=1,2,IF(Tabelle1[[#This Row],[Werkzeuglos]]=1,3,0)))=select!$E$7,1,0)</f>
        <v>0</v>
      </c>
      <c r="I155" s="46">
        <f ca="1">IF(Tabelle1[[#This Row],[Winkel]]+Tabelle1[[#This Row],[Kröpfung]]+Tabelle1[[#This Row],[Däpfung]]+Tabelle1[[#This Row],[Bohrbild]]+Tabelle1[[#This Row],[Scharnierbefestigung]]=5,1,0)</f>
        <v>0</v>
      </c>
      <c r="J155" t="str">
        <f ca="1">Sprache!$A$54</f>
        <v>TIOMOS hinge T-Impresso</v>
      </c>
      <c r="K155" t="s">
        <v>135</v>
      </c>
      <c r="L155" t="s">
        <v>73</v>
      </c>
      <c r="M155">
        <v>9.5</v>
      </c>
      <c r="N155" t="s">
        <v>15</v>
      </c>
      <c r="O155">
        <v>110</v>
      </c>
      <c r="P155">
        <v>0</v>
      </c>
      <c r="Q155">
        <v>1</v>
      </c>
      <c r="R155">
        <v>0</v>
      </c>
      <c r="S155">
        <v>0</v>
      </c>
      <c r="T155">
        <v>0</v>
      </c>
      <c r="U155">
        <v>1</v>
      </c>
      <c r="V155" s="14" t="s">
        <v>193</v>
      </c>
    </row>
    <row r="156" spans="1:22" ht="14.25" customHeight="1" x14ac:dyDescent="0.25">
      <c r="A156" s="48" t="str">
        <f>LEFT(Tabelle1[[#This Row],[Artikel'#]],4)</f>
        <v>F034</v>
      </c>
      <c r="B156" s="46" t="str">
        <f>MID(Tabelle1[[#This Row],[Artikel'#]],5,3)</f>
        <v>139</v>
      </c>
      <c r="C156" s="48" t="str">
        <f>RIGHT(Tabelle1[[#This Row],[Artikel'#]],3)</f>
        <v>473</v>
      </c>
      <c r="D156" s="46">
        <f>IF(Tabelle1[[#This Row],[Winkel2]]=select!$A$2,1,0)</f>
        <v>1</v>
      </c>
      <c r="E1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6" s="46">
        <f>IF(select!$E$16=IF(Tabelle1[[#This Row],[mit Dämpfung]]=1,1,IF(Tabelle1[[#This Row],[ohne Dämpfung]]=1,2,IF(Tabelle1[[#This Row],[ohne Feder]]=1,3,0))),1,0)</f>
        <v>0</v>
      </c>
      <c r="G156" s="46">
        <f>IF(Tabelle1[[#This Row],[Links]]=select!$I$2,1,0)</f>
        <v>0</v>
      </c>
      <c r="H156" s="46">
        <f>IF(IF(Tabelle1[[#This Row],[Anschrauben]]=1,1,IF(Tabelle1[[#This Row],[Einpressen]]=1,2,IF(Tabelle1[[#This Row],[Werkzeuglos]]=1,3,0)))=select!$E$7,1,0)</f>
        <v>0</v>
      </c>
      <c r="I156" s="46">
        <f ca="1">IF(Tabelle1[[#This Row],[Winkel]]+Tabelle1[[#This Row],[Kröpfung]]+Tabelle1[[#This Row],[Däpfung]]+Tabelle1[[#This Row],[Bohrbild]]+Tabelle1[[#This Row],[Scharnierbefestigung]]=5,1,0)</f>
        <v>0</v>
      </c>
      <c r="J156" t="str">
        <f ca="1">Sprache!$A$54</f>
        <v>TIOMOS hinge T-Impresso</v>
      </c>
      <c r="K156" t="s">
        <v>137</v>
      </c>
      <c r="L156" t="s">
        <v>73</v>
      </c>
      <c r="M156">
        <v>19</v>
      </c>
      <c r="N156" t="s">
        <v>14</v>
      </c>
      <c r="O156">
        <v>110</v>
      </c>
      <c r="P156">
        <v>0</v>
      </c>
      <c r="Q156">
        <v>1</v>
      </c>
      <c r="R156">
        <v>0</v>
      </c>
      <c r="S156">
        <v>0</v>
      </c>
      <c r="T156">
        <v>0</v>
      </c>
      <c r="U156">
        <v>1</v>
      </c>
      <c r="V156" s="14" t="s">
        <v>194</v>
      </c>
    </row>
    <row r="157" spans="1:22" ht="14.25" customHeight="1" x14ac:dyDescent="0.25">
      <c r="A157" s="48" t="str">
        <f>LEFT(Tabelle1[[#This Row],[Artikel'#]],4)</f>
        <v>F034</v>
      </c>
      <c r="B157" s="46" t="str">
        <f>MID(Tabelle1[[#This Row],[Artikel'#]],5,3)</f>
        <v>139</v>
      </c>
      <c r="C157" s="48" t="str">
        <f>RIGHT(Tabelle1[[#This Row],[Artikel'#]],3)</f>
        <v>473</v>
      </c>
      <c r="D157" s="46">
        <f>IF(Tabelle1[[#This Row],[Winkel2]]=select!$A$2,1,0)</f>
        <v>1</v>
      </c>
      <c r="E1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7" s="46">
        <f>IF(select!$E$16=IF(Tabelle1[[#This Row],[mit Dämpfung]]=1,1,IF(Tabelle1[[#This Row],[ohne Dämpfung]]=1,2,IF(Tabelle1[[#This Row],[ohne Feder]]=1,3,0))),1,0)</f>
        <v>0</v>
      </c>
      <c r="G157" s="46">
        <f>IF(Tabelle1[[#This Row],[Links]]=select!$I$2,1,0)</f>
        <v>0</v>
      </c>
      <c r="H157" s="46">
        <f>IF(IF(Tabelle1[[#This Row],[Anschrauben]]=1,1,IF(Tabelle1[[#This Row],[Einpressen]]=1,2,IF(Tabelle1[[#This Row],[Werkzeuglos]]=1,3,0)))=select!$E$7,1,0)</f>
        <v>0</v>
      </c>
      <c r="I157" s="46">
        <f ca="1">IF(Tabelle1[[#This Row],[Winkel]]+Tabelle1[[#This Row],[Kröpfung]]+Tabelle1[[#This Row],[Däpfung]]+Tabelle1[[#This Row],[Bohrbild]]+Tabelle1[[#This Row],[Scharnierbefestigung]]=5,1,0)</f>
        <v>0</v>
      </c>
      <c r="J157" t="str">
        <f ca="1">Sprache!$A$54</f>
        <v>TIOMOS hinge T-Impresso</v>
      </c>
      <c r="K157" t="s">
        <v>137</v>
      </c>
      <c r="L157" t="s">
        <v>73</v>
      </c>
      <c r="M157">
        <v>19</v>
      </c>
      <c r="N157" t="s">
        <v>15</v>
      </c>
      <c r="O157">
        <v>110</v>
      </c>
      <c r="P157">
        <v>0</v>
      </c>
      <c r="Q157">
        <v>1</v>
      </c>
      <c r="R157">
        <v>0</v>
      </c>
      <c r="S157">
        <v>0</v>
      </c>
      <c r="T157">
        <v>0</v>
      </c>
      <c r="U157">
        <v>1</v>
      </c>
      <c r="V157" s="14" t="s">
        <v>194</v>
      </c>
    </row>
    <row r="158" spans="1:22" ht="14.25" customHeight="1" x14ac:dyDescent="0.25">
      <c r="A158" s="48" t="str">
        <f>LEFT(Tabelle1[[#This Row],[Artikel'#]],4)</f>
        <v>F034</v>
      </c>
      <c r="B158" s="46" t="str">
        <f>MID(Tabelle1[[#This Row],[Artikel'#]],5,3)</f>
        <v>139</v>
      </c>
      <c r="C158" s="48" t="str">
        <f>RIGHT(Tabelle1[[#This Row],[Artikel'#]],3)</f>
        <v>484</v>
      </c>
      <c r="D158" s="46">
        <f>IF(Tabelle1[[#This Row],[Winkel2]]=select!$A$2,1,0)</f>
        <v>0</v>
      </c>
      <c r="E1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8" s="46">
        <f>IF(select!$E$16=IF(Tabelle1[[#This Row],[mit Dämpfung]]=1,1,IF(Tabelle1[[#This Row],[ohne Dämpfung]]=1,2,IF(Tabelle1[[#This Row],[ohne Feder]]=1,3,0))),1,0)</f>
        <v>0</v>
      </c>
      <c r="G158" s="46">
        <f>IF(Tabelle1[[#This Row],[Links]]=select!$I$2,1,0)</f>
        <v>0</v>
      </c>
      <c r="H158" s="46">
        <f>IF(IF(Tabelle1[[#This Row],[Anschrauben]]=1,1,IF(Tabelle1[[#This Row],[Einpressen]]=1,2,IF(Tabelle1[[#This Row],[Werkzeuglos]]=1,3,0)))=select!$E$7,1,0)</f>
        <v>0</v>
      </c>
      <c r="I158" s="46">
        <f ca="1">IF(Tabelle1[[#This Row],[Winkel]]+Tabelle1[[#This Row],[Kröpfung]]+Tabelle1[[#This Row],[Däpfung]]+Tabelle1[[#This Row],[Bohrbild]]+Tabelle1[[#This Row],[Scharnierbefestigung]]=5,1,0)</f>
        <v>0</v>
      </c>
      <c r="J158" t="str">
        <f ca="1">Sprache!$A$54</f>
        <v>TIOMOS hinge T-Impresso</v>
      </c>
      <c r="K158" t="s">
        <v>139</v>
      </c>
      <c r="L158" t="s">
        <v>73</v>
      </c>
      <c r="M158">
        <v>0</v>
      </c>
      <c r="N158" t="s">
        <v>14</v>
      </c>
      <c r="O158">
        <v>120</v>
      </c>
      <c r="P158">
        <v>0</v>
      </c>
      <c r="Q158">
        <v>1</v>
      </c>
      <c r="R158">
        <v>0</v>
      </c>
      <c r="S158">
        <v>0</v>
      </c>
      <c r="T158">
        <v>0</v>
      </c>
      <c r="U158">
        <v>1</v>
      </c>
      <c r="V158" s="14" t="s">
        <v>195</v>
      </c>
    </row>
    <row r="159" spans="1:22" ht="14.25" customHeight="1" x14ac:dyDescent="0.25">
      <c r="A159" s="48" t="str">
        <f>LEFT(Tabelle1[[#This Row],[Artikel'#]],4)</f>
        <v>F034</v>
      </c>
      <c r="B159" s="46" t="str">
        <f>MID(Tabelle1[[#This Row],[Artikel'#]],5,3)</f>
        <v>139</v>
      </c>
      <c r="C159" s="48" t="str">
        <f>RIGHT(Tabelle1[[#This Row],[Artikel'#]],3)</f>
        <v>484</v>
      </c>
      <c r="D159" s="46">
        <f>IF(Tabelle1[[#This Row],[Winkel2]]=select!$A$2,1,0)</f>
        <v>0</v>
      </c>
      <c r="E1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59" s="46">
        <f>IF(select!$E$16=IF(Tabelle1[[#This Row],[mit Dämpfung]]=1,1,IF(Tabelle1[[#This Row],[ohne Dämpfung]]=1,2,IF(Tabelle1[[#This Row],[ohne Feder]]=1,3,0))),1,0)</f>
        <v>0</v>
      </c>
      <c r="G159" s="46">
        <f>IF(Tabelle1[[#This Row],[Links]]=select!$I$2,1,0)</f>
        <v>0</v>
      </c>
      <c r="H159" s="46">
        <f>IF(IF(Tabelle1[[#This Row],[Anschrauben]]=1,1,IF(Tabelle1[[#This Row],[Einpressen]]=1,2,IF(Tabelle1[[#This Row],[Werkzeuglos]]=1,3,0)))=select!$E$7,1,0)</f>
        <v>0</v>
      </c>
      <c r="I159" s="46">
        <f ca="1">IF(Tabelle1[[#This Row],[Winkel]]+Tabelle1[[#This Row],[Kröpfung]]+Tabelle1[[#This Row],[Däpfung]]+Tabelle1[[#This Row],[Bohrbild]]+Tabelle1[[#This Row],[Scharnierbefestigung]]=5,1,0)</f>
        <v>0</v>
      </c>
      <c r="J159" t="str">
        <f ca="1">Sprache!$A$54</f>
        <v>TIOMOS hinge T-Impresso</v>
      </c>
      <c r="K159" t="s">
        <v>139</v>
      </c>
      <c r="L159" t="s">
        <v>73</v>
      </c>
      <c r="M159">
        <v>0</v>
      </c>
      <c r="N159" t="s">
        <v>15</v>
      </c>
      <c r="O159">
        <v>120</v>
      </c>
      <c r="P159">
        <v>0</v>
      </c>
      <c r="Q159">
        <v>1</v>
      </c>
      <c r="R159">
        <v>0</v>
      </c>
      <c r="S159">
        <v>0</v>
      </c>
      <c r="T159">
        <v>0</v>
      </c>
      <c r="U159">
        <v>1</v>
      </c>
      <c r="V159" s="14" t="s">
        <v>195</v>
      </c>
    </row>
    <row r="160" spans="1:22" ht="14.25" customHeight="1" x14ac:dyDescent="0.25">
      <c r="A160" s="48" t="str">
        <f>LEFT(Tabelle1[[#This Row],[Artikel'#]],4)</f>
        <v>F034</v>
      </c>
      <c r="B160" s="46" t="str">
        <f>MID(Tabelle1[[#This Row],[Artikel'#]],5,3)</f>
        <v>139</v>
      </c>
      <c r="C160" s="48" t="str">
        <f>RIGHT(Tabelle1[[#This Row],[Artikel'#]],3)</f>
        <v>485</v>
      </c>
      <c r="D160" s="46">
        <f>IF(Tabelle1[[#This Row],[Winkel2]]=select!$A$2,1,0)</f>
        <v>0</v>
      </c>
      <c r="E1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0" s="46">
        <f>IF(select!$E$16=IF(Tabelle1[[#This Row],[mit Dämpfung]]=1,1,IF(Tabelle1[[#This Row],[ohne Dämpfung]]=1,2,IF(Tabelle1[[#This Row],[ohne Feder]]=1,3,0))),1,0)</f>
        <v>0</v>
      </c>
      <c r="G160" s="46">
        <f>IF(Tabelle1[[#This Row],[Links]]=select!$I$2,1,0)</f>
        <v>0</v>
      </c>
      <c r="H160" s="46">
        <f>IF(IF(Tabelle1[[#This Row],[Anschrauben]]=1,1,IF(Tabelle1[[#This Row],[Einpressen]]=1,2,IF(Tabelle1[[#This Row],[Werkzeuglos]]=1,3,0)))=select!$E$7,1,0)</f>
        <v>0</v>
      </c>
      <c r="I160" s="46">
        <f ca="1">IF(Tabelle1[[#This Row],[Winkel]]+Tabelle1[[#This Row],[Kröpfung]]+Tabelle1[[#This Row],[Däpfung]]+Tabelle1[[#This Row],[Bohrbild]]+Tabelle1[[#This Row],[Scharnierbefestigung]]=5,1,0)</f>
        <v>0</v>
      </c>
      <c r="J160" t="str">
        <f ca="1">Sprache!$A$54</f>
        <v>TIOMOS hinge T-Impresso</v>
      </c>
      <c r="K160" t="s">
        <v>141</v>
      </c>
      <c r="L160" t="s">
        <v>73</v>
      </c>
      <c r="M160">
        <v>3</v>
      </c>
      <c r="N160" t="s">
        <v>14</v>
      </c>
      <c r="O160">
        <v>120</v>
      </c>
      <c r="P160">
        <v>0</v>
      </c>
      <c r="Q160">
        <v>1</v>
      </c>
      <c r="R160">
        <v>0</v>
      </c>
      <c r="S160">
        <v>0</v>
      </c>
      <c r="T160">
        <v>0</v>
      </c>
      <c r="U160">
        <v>1</v>
      </c>
      <c r="V160" s="14" t="s">
        <v>196</v>
      </c>
    </row>
    <row r="161" spans="1:22" ht="14.25" customHeight="1" x14ac:dyDescent="0.25">
      <c r="A161" s="48" t="str">
        <f>LEFT(Tabelle1[[#This Row],[Artikel'#]],4)</f>
        <v>F034</v>
      </c>
      <c r="B161" s="46" t="str">
        <f>MID(Tabelle1[[#This Row],[Artikel'#]],5,3)</f>
        <v>139</v>
      </c>
      <c r="C161" s="48" t="str">
        <f>RIGHT(Tabelle1[[#This Row],[Artikel'#]],3)</f>
        <v>485</v>
      </c>
      <c r="D161" s="46">
        <f>IF(Tabelle1[[#This Row],[Winkel2]]=select!$A$2,1,0)</f>
        <v>0</v>
      </c>
      <c r="E1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1" s="46">
        <f>IF(select!$E$16=IF(Tabelle1[[#This Row],[mit Dämpfung]]=1,1,IF(Tabelle1[[#This Row],[ohne Dämpfung]]=1,2,IF(Tabelle1[[#This Row],[ohne Feder]]=1,3,0))),1,0)</f>
        <v>0</v>
      </c>
      <c r="G161" s="46">
        <f>IF(Tabelle1[[#This Row],[Links]]=select!$I$2,1,0)</f>
        <v>0</v>
      </c>
      <c r="H161" s="46">
        <f>IF(IF(Tabelle1[[#This Row],[Anschrauben]]=1,1,IF(Tabelle1[[#This Row],[Einpressen]]=1,2,IF(Tabelle1[[#This Row],[Werkzeuglos]]=1,3,0)))=select!$E$7,1,0)</f>
        <v>0</v>
      </c>
      <c r="I161" s="46">
        <f ca="1">IF(Tabelle1[[#This Row],[Winkel]]+Tabelle1[[#This Row],[Kröpfung]]+Tabelle1[[#This Row],[Däpfung]]+Tabelle1[[#This Row],[Bohrbild]]+Tabelle1[[#This Row],[Scharnierbefestigung]]=5,1,0)</f>
        <v>0</v>
      </c>
      <c r="J161" t="str">
        <f ca="1">Sprache!$A$54</f>
        <v>TIOMOS hinge T-Impresso</v>
      </c>
      <c r="K161" t="s">
        <v>141</v>
      </c>
      <c r="L161" t="s">
        <v>73</v>
      </c>
      <c r="M161">
        <v>3</v>
      </c>
      <c r="N161" t="s">
        <v>15</v>
      </c>
      <c r="O161">
        <v>120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1</v>
      </c>
      <c r="V161" s="14" t="s">
        <v>196</v>
      </c>
    </row>
    <row r="162" spans="1:22" ht="14.25" customHeight="1" x14ac:dyDescent="0.25">
      <c r="A162" s="48" t="str">
        <f>LEFT(Tabelle1[[#This Row],[Artikel'#]],4)</f>
        <v>F034</v>
      </c>
      <c r="B162" s="46" t="str">
        <f>MID(Tabelle1[[#This Row],[Artikel'#]],5,3)</f>
        <v>139</v>
      </c>
      <c r="C162" s="48" t="str">
        <f>RIGHT(Tabelle1[[#This Row],[Artikel'#]],3)</f>
        <v>486</v>
      </c>
      <c r="D162" s="46">
        <f>IF(Tabelle1[[#This Row],[Winkel2]]=select!$A$2,1,0)</f>
        <v>0</v>
      </c>
      <c r="E1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62" s="46">
        <f>IF(select!$E$16=IF(Tabelle1[[#This Row],[mit Dämpfung]]=1,1,IF(Tabelle1[[#This Row],[ohne Dämpfung]]=1,2,IF(Tabelle1[[#This Row],[ohne Feder]]=1,3,0))),1,0)</f>
        <v>0</v>
      </c>
      <c r="G162" s="46">
        <f>IF(Tabelle1[[#This Row],[Links]]=select!$I$2,1,0)</f>
        <v>0</v>
      </c>
      <c r="H162" s="46">
        <f>IF(IF(Tabelle1[[#This Row],[Anschrauben]]=1,1,IF(Tabelle1[[#This Row],[Einpressen]]=1,2,IF(Tabelle1[[#This Row],[Werkzeuglos]]=1,3,0)))=select!$E$7,1,0)</f>
        <v>0</v>
      </c>
      <c r="I162" s="46">
        <f ca="1">IF(Tabelle1[[#This Row],[Winkel]]+Tabelle1[[#This Row],[Kröpfung]]+Tabelle1[[#This Row],[Däpfung]]+Tabelle1[[#This Row],[Bohrbild]]+Tabelle1[[#This Row],[Scharnierbefestigung]]=5,1,0)</f>
        <v>0</v>
      </c>
      <c r="J162" t="str">
        <f ca="1">Sprache!$A$54</f>
        <v>TIOMOS hinge T-Impresso</v>
      </c>
      <c r="K162" t="s">
        <v>143</v>
      </c>
      <c r="L162" t="s">
        <v>73</v>
      </c>
      <c r="M162">
        <v>9.5</v>
      </c>
      <c r="N162" t="s">
        <v>14</v>
      </c>
      <c r="O162">
        <v>120</v>
      </c>
      <c r="P162">
        <v>0</v>
      </c>
      <c r="Q162">
        <v>1</v>
      </c>
      <c r="R162">
        <v>0</v>
      </c>
      <c r="S162">
        <v>0</v>
      </c>
      <c r="T162">
        <v>0</v>
      </c>
      <c r="U162">
        <v>1</v>
      </c>
      <c r="V162" s="14" t="s">
        <v>197</v>
      </c>
    </row>
    <row r="163" spans="1:22" ht="14.25" customHeight="1" x14ac:dyDescent="0.25">
      <c r="A163" s="48" t="str">
        <f>LEFT(Tabelle1[[#This Row],[Artikel'#]],4)</f>
        <v>F034</v>
      </c>
      <c r="B163" s="46" t="str">
        <f>MID(Tabelle1[[#This Row],[Artikel'#]],5,3)</f>
        <v>139</v>
      </c>
      <c r="C163" s="48" t="str">
        <f>RIGHT(Tabelle1[[#This Row],[Artikel'#]],3)</f>
        <v>486</v>
      </c>
      <c r="D163" s="46">
        <f>IF(Tabelle1[[#This Row],[Winkel2]]=select!$A$2,1,0)</f>
        <v>0</v>
      </c>
      <c r="E1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63" s="46">
        <f>IF(select!$E$16=IF(Tabelle1[[#This Row],[mit Dämpfung]]=1,1,IF(Tabelle1[[#This Row],[ohne Dämpfung]]=1,2,IF(Tabelle1[[#This Row],[ohne Feder]]=1,3,0))),1,0)</f>
        <v>0</v>
      </c>
      <c r="G163" s="46">
        <f>IF(Tabelle1[[#This Row],[Links]]=select!$I$2,1,0)</f>
        <v>0</v>
      </c>
      <c r="H163" s="46">
        <f>IF(IF(Tabelle1[[#This Row],[Anschrauben]]=1,1,IF(Tabelle1[[#This Row],[Einpressen]]=1,2,IF(Tabelle1[[#This Row],[Werkzeuglos]]=1,3,0)))=select!$E$7,1,0)</f>
        <v>0</v>
      </c>
      <c r="I163" s="46">
        <f ca="1">IF(Tabelle1[[#This Row],[Winkel]]+Tabelle1[[#This Row],[Kröpfung]]+Tabelle1[[#This Row],[Däpfung]]+Tabelle1[[#This Row],[Bohrbild]]+Tabelle1[[#This Row],[Scharnierbefestigung]]=5,1,0)</f>
        <v>0</v>
      </c>
      <c r="J163" t="str">
        <f ca="1">Sprache!$A$54</f>
        <v>TIOMOS hinge T-Impresso</v>
      </c>
      <c r="K163" t="s">
        <v>143</v>
      </c>
      <c r="L163" t="s">
        <v>73</v>
      </c>
      <c r="M163">
        <v>9.5</v>
      </c>
      <c r="N163" t="s">
        <v>15</v>
      </c>
      <c r="O163">
        <v>120</v>
      </c>
      <c r="P163">
        <v>0</v>
      </c>
      <c r="Q163">
        <v>1</v>
      </c>
      <c r="R163">
        <v>0</v>
      </c>
      <c r="S163">
        <v>0</v>
      </c>
      <c r="T163">
        <v>0</v>
      </c>
      <c r="U163">
        <v>1</v>
      </c>
      <c r="V163" s="14" t="s">
        <v>197</v>
      </c>
    </row>
    <row r="164" spans="1:22" ht="14.25" customHeight="1" x14ac:dyDescent="0.25">
      <c r="A164" s="48" t="str">
        <f>LEFT(Tabelle1[[#This Row],[Artikel'#]],4)</f>
        <v>F034</v>
      </c>
      <c r="B164" s="46" t="str">
        <f>MID(Tabelle1[[#This Row],[Artikel'#]],5,3)</f>
        <v>139</v>
      </c>
      <c r="C164" s="48" t="str">
        <f>RIGHT(Tabelle1[[#This Row],[Artikel'#]],3)</f>
        <v>491</v>
      </c>
      <c r="D164" s="46">
        <f>IF(Tabelle1[[#This Row],[Winkel2]]=select!$A$2,1,0)</f>
        <v>0</v>
      </c>
      <c r="E1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4" s="46">
        <f>IF(select!$E$16=IF(Tabelle1[[#This Row],[mit Dämpfung]]=1,1,IF(Tabelle1[[#This Row],[ohne Dämpfung]]=1,2,IF(Tabelle1[[#This Row],[ohne Feder]]=1,3,0))),1,0)</f>
        <v>0</v>
      </c>
      <c r="G164" s="46">
        <f>IF(Tabelle1[[#This Row],[Links]]=select!$I$2,1,0)</f>
        <v>0</v>
      </c>
      <c r="H164" s="46">
        <f>IF(IF(Tabelle1[[#This Row],[Anschrauben]]=1,1,IF(Tabelle1[[#This Row],[Einpressen]]=1,2,IF(Tabelle1[[#This Row],[Werkzeuglos]]=1,3,0)))=select!$E$7,1,0)</f>
        <v>0</v>
      </c>
      <c r="I164" s="46">
        <f ca="1">IF(Tabelle1[[#This Row],[Winkel]]+Tabelle1[[#This Row],[Kröpfung]]+Tabelle1[[#This Row],[Däpfung]]+Tabelle1[[#This Row],[Bohrbild]]+Tabelle1[[#This Row],[Scharnierbefestigung]]=5,1,0)</f>
        <v>0</v>
      </c>
      <c r="J164" t="str">
        <f ca="1">Sprache!$A$54</f>
        <v>TIOMOS hinge T-Impresso</v>
      </c>
      <c r="K164" t="s">
        <v>145</v>
      </c>
      <c r="L164" t="s">
        <v>73</v>
      </c>
      <c r="M164">
        <v>0</v>
      </c>
      <c r="N164" s="13" t="s">
        <v>14</v>
      </c>
      <c r="O164">
        <v>160</v>
      </c>
      <c r="P164">
        <v>0</v>
      </c>
      <c r="Q164">
        <v>1</v>
      </c>
      <c r="R164">
        <v>0</v>
      </c>
      <c r="S164">
        <v>0</v>
      </c>
      <c r="T164">
        <v>0</v>
      </c>
      <c r="U164">
        <v>1</v>
      </c>
      <c r="V164" s="14" t="s">
        <v>198</v>
      </c>
    </row>
    <row r="165" spans="1:22" ht="14.25" customHeight="1" x14ac:dyDescent="0.25">
      <c r="A165" s="48" t="str">
        <f>LEFT(Tabelle1[[#This Row],[Artikel'#]],4)</f>
        <v>F034</v>
      </c>
      <c r="B165" s="46" t="str">
        <f>MID(Tabelle1[[#This Row],[Artikel'#]],5,3)</f>
        <v>139</v>
      </c>
      <c r="C165" s="48" t="str">
        <f>RIGHT(Tabelle1[[#This Row],[Artikel'#]],3)</f>
        <v>491</v>
      </c>
      <c r="D165" s="46">
        <f>IF(Tabelle1[[#This Row],[Winkel2]]=select!$A$2,1,0)</f>
        <v>0</v>
      </c>
      <c r="E1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5" s="46">
        <f>IF(select!$E$16=IF(Tabelle1[[#This Row],[mit Dämpfung]]=1,1,IF(Tabelle1[[#This Row],[ohne Dämpfung]]=1,2,IF(Tabelle1[[#This Row],[ohne Feder]]=1,3,0))),1,0)</f>
        <v>0</v>
      </c>
      <c r="G165" s="46">
        <f>IF(Tabelle1[[#This Row],[Links]]=select!$I$2,1,0)</f>
        <v>0</v>
      </c>
      <c r="H165" s="46">
        <f>IF(IF(Tabelle1[[#This Row],[Anschrauben]]=1,1,IF(Tabelle1[[#This Row],[Einpressen]]=1,2,IF(Tabelle1[[#This Row],[Werkzeuglos]]=1,3,0)))=select!$E$7,1,0)</f>
        <v>0</v>
      </c>
      <c r="I165" s="46">
        <f ca="1">IF(Tabelle1[[#This Row],[Winkel]]+Tabelle1[[#This Row],[Kröpfung]]+Tabelle1[[#This Row],[Däpfung]]+Tabelle1[[#This Row],[Bohrbild]]+Tabelle1[[#This Row],[Scharnierbefestigung]]=5,1,0)</f>
        <v>0</v>
      </c>
      <c r="J165" t="str">
        <f ca="1">Sprache!$A$54</f>
        <v>TIOMOS hinge T-Impresso</v>
      </c>
      <c r="K165" t="s">
        <v>145</v>
      </c>
      <c r="L165" t="s">
        <v>73</v>
      </c>
      <c r="M165">
        <v>0</v>
      </c>
      <c r="N165" s="13" t="s">
        <v>15</v>
      </c>
      <c r="O165">
        <v>160</v>
      </c>
      <c r="P165">
        <v>0</v>
      </c>
      <c r="Q165">
        <v>1</v>
      </c>
      <c r="R165">
        <v>0</v>
      </c>
      <c r="S165">
        <v>0</v>
      </c>
      <c r="T165">
        <v>0</v>
      </c>
      <c r="U165">
        <v>1</v>
      </c>
      <c r="V165" s="14" t="s">
        <v>198</v>
      </c>
    </row>
    <row r="166" spans="1:22" ht="14.25" customHeight="1" x14ac:dyDescent="0.25">
      <c r="A166" s="48" t="str">
        <f>LEFT(Tabelle1[[#This Row],[Artikel'#]],4)</f>
        <v>F034</v>
      </c>
      <c r="B166" s="46" t="str">
        <f>MID(Tabelle1[[#This Row],[Artikel'#]],5,3)</f>
        <v>139</v>
      </c>
      <c r="C166" s="48" t="str">
        <f>RIGHT(Tabelle1[[#This Row],[Artikel'#]],3)</f>
        <v>492</v>
      </c>
      <c r="D166" s="46">
        <f>IF(Tabelle1[[#This Row],[Winkel2]]=select!$A$2,1,0)</f>
        <v>0</v>
      </c>
      <c r="E1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6" s="46">
        <f>IF(select!$E$16=IF(Tabelle1[[#This Row],[mit Dämpfung]]=1,1,IF(Tabelle1[[#This Row],[ohne Dämpfung]]=1,2,IF(Tabelle1[[#This Row],[ohne Feder]]=1,3,0))),1,0)</f>
        <v>0</v>
      </c>
      <c r="G166" s="46">
        <f>IF(Tabelle1[[#This Row],[Links]]=select!$I$2,1,0)</f>
        <v>0</v>
      </c>
      <c r="H166" s="46">
        <f>IF(IF(Tabelle1[[#This Row],[Anschrauben]]=1,1,IF(Tabelle1[[#This Row],[Einpressen]]=1,2,IF(Tabelle1[[#This Row],[Werkzeuglos]]=1,3,0)))=select!$E$7,1,0)</f>
        <v>0</v>
      </c>
      <c r="I166" s="46">
        <f ca="1">IF(Tabelle1[[#This Row],[Winkel]]+Tabelle1[[#This Row],[Kröpfung]]+Tabelle1[[#This Row],[Däpfung]]+Tabelle1[[#This Row],[Bohrbild]]+Tabelle1[[#This Row],[Scharnierbefestigung]]=5,1,0)</f>
        <v>0</v>
      </c>
      <c r="J166" t="str">
        <f ca="1">Sprache!$A$54</f>
        <v>TIOMOS hinge T-Impresso</v>
      </c>
      <c r="K166" t="s">
        <v>147</v>
      </c>
      <c r="L166" t="s">
        <v>73</v>
      </c>
      <c r="M166">
        <v>3</v>
      </c>
      <c r="N166" t="s">
        <v>14</v>
      </c>
      <c r="O166">
        <v>160</v>
      </c>
      <c r="P166">
        <v>0</v>
      </c>
      <c r="Q166">
        <v>1</v>
      </c>
      <c r="R166">
        <v>0</v>
      </c>
      <c r="S166">
        <v>0</v>
      </c>
      <c r="T166">
        <v>0</v>
      </c>
      <c r="U166">
        <v>1</v>
      </c>
      <c r="V166" s="14" t="s">
        <v>199</v>
      </c>
    </row>
    <row r="167" spans="1:22" ht="14.25" customHeight="1" x14ac:dyDescent="0.25">
      <c r="A167" s="48" t="str">
        <f>LEFT(Tabelle1[[#This Row],[Artikel'#]],4)</f>
        <v>F034</v>
      </c>
      <c r="B167" s="46" t="str">
        <f>MID(Tabelle1[[#This Row],[Artikel'#]],5,3)</f>
        <v>139</v>
      </c>
      <c r="C167" s="48" t="str">
        <f>RIGHT(Tabelle1[[#This Row],[Artikel'#]],3)</f>
        <v>492</v>
      </c>
      <c r="D167" s="46">
        <f>IF(Tabelle1[[#This Row],[Winkel2]]=select!$A$2,1,0)</f>
        <v>0</v>
      </c>
      <c r="E1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67" s="46">
        <f>IF(select!$E$16=IF(Tabelle1[[#This Row],[mit Dämpfung]]=1,1,IF(Tabelle1[[#This Row],[ohne Dämpfung]]=1,2,IF(Tabelle1[[#This Row],[ohne Feder]]=1,3,0))),1,0)</f>
        <v>0</v>
      </c>
      <c r="G167" s="46">
        <f>IF(Tabelle1[[#This Row],[Links]]=select!$I$2,1,0)</f>
        <v>0</v>
      </c>
      <c r="H167" s="46">
        <f>IF(IF(Tabelle1[[#This Row],[Anschrauben]]=1,1,IF(Tabelle1[[#This Row],[Einpressen]]=1,2,IF(Tabelle1[[#This Row],[Werkzeuglos]]=1,3,0)))=select!$E$7,1,0)</f>
        <v>0</v>
      </c>
      <c r="I167" s="46">
        <f ca="1">IF(Tabelle1[[#This Row],[Winkel]]+Tabelle1[[#This Row],[Kröpfung]]+Tabelle1[[#This Row],[Däpfung]]+Tabelle1[[#This Row],[Bohrbild]]+Tabelle1[[#This Row],[Scharnierbefestigung]]=5,1,0)</f>
        <v>0</v>
      </c>
      <c r="J167" t="str">
        <f ca="1">Sprache!$A$54</f>
        <v>TIOMOS hinge T-Impresso</v>
      </c>
      <c r="K167" t="s">
        <v>147</v>
      </c>
      <c r="L167" t="s">
        <v>73</v>
      </c>
      <c r="M167">
        <v>3</v>
      </c>
      <c r="N167" t="s">
        <v>15</v>
      </c>
      <c r="O167">
        <v>160</v>
      </c>
      <c r="P167">
        <v>0</v>
      </c>
      <c r="Q167">
        <v>1</v>
      </c>
      <c r="R167">
        <v>0</v>
      </c>
      <c r="S167">
        <v>0</v>
      </c>
      <c r="T167">
        <v>0</v>
      </c>
      <c r="U167">
        <v>1</v>
      </c>
      <c r="V167" s="14" t="s">
        <v>199</v>
      </c>
    </row>
    <row r="168" spans="1:22" ht="14.25" customHeight="1" x14ac:dyDescent="0.25">
      <c r="A168" s="48" t="str">
        <f>LEFT(Tabelle1[[#This Row],[Artikel'#]],4)</f>
        <v>F034</v>
      </c>
      <c r="B168" s="46" t="str">
        <f>MID(Tabelle1[[#This Row],[Artikel'#]],5,3)</f>
        <v>139</v>
      </c>
      <c r="C168" s="48" t="str">
        <f>RIGHT(Tabelle1[[#This Row],[Artikel'#]],3)</f>
        <v>493</v>
      </c>
      <c r="D168" s="46">
        <f>IF(Tabelle1[[#This Row],[Winkel2]]=select!$A$2,1,0)</f>
        <v>0</v>
      </c>
      <c r="E1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68" s="46">
        <f>IF(select!$E$16=IF(Tabelle1[[#This Row],[mit Dämpfung]]=1,1,IF(Tabelle1[[#This Row],[ohne Dämpfung]]=1,2,IF(Tabelle1[[#This Row],[ohne Feder]]=1,3,0))),1,0)</f>
        <v>0</v>
      </c>
      <c r="G168" s="46">
        <f>IF(Tabelle1[[#This Row],[Links]]=select!$I$2,1,0)</f>
        <v>0</v>
      </c>
      <c r="H168" s="46">
        <f>IF(IF(Tabelle1[[#This Row],[Anschrauben]]=1,1,IF(Tabelle1[[#This Row],[Einpressen]]=1,2,IF(Tabelle1[[#This Row],[Werkzeuglos]]=1,3,0)))=select!$E$7,1,0)</f>
        <v>0</v>
      </c>
      <c r="I168" s="46">
        <f ca="1">IF(Tabelle1[[#This Row],[Winkel]]+Tabelle1[[#This Row],[Kröpfung]]+Tabelle1[[#This Row],[Däpfung]]+Tabelle1[[#This Row],[Bohrbild]]+Tabelle1[[#This Row],[Scharnierbefestigung]]=5,1,0)</f>
        <v>0</v>
      </c>
      <c r="J168" t="str">
        <f ca="1">Sprache!$A$54</f>
        <v>TIOMOS hinge T-Impresso</v>
      </c>
      <c r="K168" t="s">
        <v>149</v>
      </c>
      <c r="L168" t="s">
        <v>73</v>
      </c>
      <c r="M168">
        <v>9.5</v>
      </c>
      <c r="N168" t="s">
        <v>14</v>
      </c>
      <c r="O168">
        <v>160</v>
      </c>
      <c r="P168">
        <v>0</v>
      </c>
      <c r="Q168">
        <v>1</v>
      </c>
      <c r="R168">
        <v>0</v>
      </c>
      <c r="S168">
        <v>0</v>
      </c>
      <c r="T168">
        <v>0</v>
      </c>
      <c r="U168">
        <v>1</v>
      </c>
      <c r="V168" s="14" t="s">
        <v>200</v>
      </c>
    </row>
    <row r="169" spans="1:22" ht="14.25" customHeight="1" x14ac:dyDescent="0.25">
      <c r="A169" s="48" t="str">
        <f>LEFT(Tabelle1[[#This Row],[Artikel'#]],4)</f>
        <v>F034</v>
      </c>
      <c r="B169" s="46" t="str">
        <f>MID(Tabelle1[[#This Row],[Artikel'#]],5,3)</f>
        <v>139</v>
      </c>
      <c r="C169" s="48" t="str">
        <f>RIGHT(Tabelle1[[#This Row],[Artikel'#]],3)</f>
        <v>493</v>
      </c>
      <c r="D169" s="46">
        <f>IF(Tabelle1[[#This Row],[Winkel2]]=select!$A$2,1,0)</f>
        <v>0</v>
      </c>
      <c r="E1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69" s="46">
        <f>IF(select!$E$16=IF(Tabelle1[[#This Row],[mit Dämpfung]]=1,1,IF(Tabelle1[[#This Row],[ohne Dämpfung]]=1,2,IF(Tabelle1[[#This Row],[ohne Feder]]=1,3,0))),1,0)</f>
        <v>0</v>
      </c>
      <c r="G169" s="46">
        <f>IF(Tabelle1[[#This Row],[Links]]=select!$I$2,1,0)</f>
        <v>0</v>
      </c>
      <c r="H169" s="46">
        <f>IF(IF(Tabelle1[[#This Row],[Anschrauben]]=1,1,IF(Tabelle1[[#This Row],[Einpressen]]=1,2,IF(Tabelle1[[#This Row],[Werkzeuglos]]=1,3,0)))=select!$E$7,1,0)</f>
        <v>0</v>
      </c>
      <c r="I169" s="46">
        <f ca="1">IF(Tabelle1[[#This Row],[Winkel]]+Tabelle1[[#This Row],[Kröpfung]]+Tabelle1[[#This Row],[Däpfung]]+Tabelle1[[#This Row],[Bohrbild]]+Tabelle1[[#This Row],[Scharnierbefestigung]]=5,1,0)</f>
        <v>0</v>
      </c>
      <c r="J169" t="str">
        <f ca="1">Sprache!$A$54</f>
        <v>TIOMOS hinge T-Impresso</v>
      </c>
      <c r="K169" t="s">
        <v>149</v>
      </c>
      <c r="L169" t="s">
        <v>73</v>
      </c>
      <c r="M169">
        <v>9.5</v>
      </c>
      <c r="N169" t="s">
        <v>15</v>
      </c>
      <c r="O169">
        <v>160</v>
      </c>
      <c r="P169">
        <v>0</v>
      </c>
      <c r="Q169">
        <v>1</v>
      </c>
      <c r="R169">
        <v>0</v>
      </c>
      <c r="S169">
        <v>0</v>
      </c>
      <c r="T169">
        <v>0</v>
      </c>
      <c r="U169">
        <v>1</v>
      </c>
      <c r="V169" s="14" t="s">
        <v>200</v>
      </c>
    </row>
    <row r="170" spans="1:22" ht="14.25" customHeight="1" x14ac:dyDescent="0.25">
      <c r="A170" s="48" t="str">
        <f>LEFT(Tabelle1[[#This Row],[Artikel'#]],4)</f>
        <v>F034</v>
      </c>
      <c r="B170" s="46" t="str">
        <f>MID(Tabelle1[[#This Row],[Artikel'#]],5,3)</f>
        <v>139</v>
      </c>
      <c r="C170" s="48" t="str">
        <f>RIGHT(Tabelle1[[#This Row],[Artikel'#]],3)</f>
        <v>494</v>
      </c>
      <c r="D170" s="46">
        <f>IF(Tabelle1[[#This Row],[Winkel2]]=select!$A$2,1,0)</f>
        <v>0</v>
      </c>
      <c r="E1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0" s="46">
        <f>IF(select!$E$16=IF(Tabelle1[[#This Row],[mit Dämpfung]]=1,1,IF(Tabelle1[[#This Row],[ohne Dämpfung]]=1,2,IF(Tabelle1[[#This Row],[ohne Feder]]=1,3,0))),1,0)</f>
        <v>0</v>
      </c>
      <c r="G170" s="46">
        <f>IF(Tabelle1[[#This Row],[Links]]=select!$I$2,1,0)</f>
        <v>0</v>
      </c>
      <c r="H170" s="46">
        <f>IF(IF(Tabelle1[[#This Row],[Anschrauben]]=1,1,IF(Tabelle1[[#This Row],[Einpressen]]=1,2,IF(Tabelle1[[#This Row],[Werkzeuglos]]=1,3,0)))=select!$E$7,1,0)</f>
        <v>0</v>
      </c>
      <c r="I170" s="46">
        <f ca="1">IF(Tabelle1[[#This Row],[Winkel]]+Tabelle1[[#This Row],[Kröpfung]]+Tabelle1[[#This Row],[Däpfung]]+Tabelle1[[#This Row],[Bohrbild]]+Tabelle1[[#This Row],[Scharnierbefestigung]]=5,1,0)</f>
        <v>0</v>
      </c>
      <c r="J170" t="str">
        <f ca="1">Sprache!$A$54</f>
        <v>TIOMOS hinge T-Impresso</v>
      </c>
      <c r="K170" t="s">
        <v>151</v>
      </c>
      <c r="L170" t="s">
        <v>73</v>
      </c>
      <c r="M170">
        <v>0</v>
      </c>
      <c r="N170" t="s">
        <v>14</v>
      </c>
      <c r="O170">
        <v>95</v>
      </c>
      <c r="P170">
        <v>0</v>
      </c>
      <c r="Q170">
        <v>1</v>
      </c>
      <c r="R170">
        <v>0</v>
      </c>
      <c r="S170">
        <v>0</v>
      </c>
      <c r="T170">
        <v>0</v>
      </c>
      <c r="U170">
        <v>1</v>
      </c>
      <c r="V170" s="14" t="s">
        <v>201</v>
      </c>
    </row>
    <row r="171" spans="1:22" ht="14.25" customHeight="1" x14ac:dyDescent="0.25">
      <c r="A171" s="48" t="str">
        <f>LEFT(Tabelle1[[#This Row],[Artikel'#]],4)</f>
        <v>F034</v>
      </c>
      <c r="B171" s="46" t="str">
        <f>MID(Tabelle1[[#This Row],[Artikel'#]],5,3)</f>
        <v>139</v>
      </c>
      <c r="C171" s="48" t="str">
        <f>RIGHT(Tabelle1[[#This Row],[Artikel'#]],3)</f>
        <v>494</v>
      </c>
      <c r="D171" s="46">
        <f>IF(Tabelle1[[#This Row],[Winkel2]]=select!$A$2,1,0)</f>
        <v>0</v>
      </c>
      <c r="E1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1" s="46">
        <f>IF(select!$E$16=IF(Tabelle1[[#This Row],[mit Dämpfung]]=1,1,IF(Tabelle1[[#This Row],[ohne Dämpfung]]=1,2,IF(Tabelle1[[#This Row],[ohne Feder]]=1,3,0))),1,0)</f>
        <v>0</v>
      </c>
      <c r="G171" s="46">
        <f>IF(Tabelle1[[#This Row],[Links]]=select!$I$2,1,0)</f>
        <v>0</v>
      </c>
      <c r="H171" s="46">
        <f>IF(IF(Tabelle1[[#This Row],[Anschrauben]]=1,1,IF(Tabelle1[[#This Row],[Einpressen]]=1,2,IF(Tabelle1[[#This Row],[Werkzeuglos]]=1,3,0)))=select!$E$7,1,0)</f>
        <v>0</v>
      </c>
      <c r="I171" s="46">
        <f ca="1">IF(Tabelle1[[#This Row],[Winkel]]+Tabelle1[[#This Row],[Kröpfung]]+Tabelle1[[#This Row],[Däpfung]]+Tabelle1[[#This Row],[Bohrbild]]+Tabelle1[[#This Row],[Scharnierbefestigung]]=5,1,0)</f>
        <v>0</v>
      </c>
      <c r="J171" t="str">
        <f ca="1">Sprache!$A$54</f>
        <v>TIOMOS hinge T-Impresso</v>
      </c>
      <c r="K171" t="s">
        <v>151</v>
      </c>
      <c r="L171" t="s">
        <v>73</v>
      </c>
      <c r="M171">
        <v>0</v>
      </c>
      <c r="N171" t="s">
        <v>15</v>
      </c>
      <c r="O171">
        <v>95</v>
      </c>
      <c r="P171">
        <v>0</v>
      </c>
      <c r="Q171">
        <v>1</v>
      </c>
      <c r="R171">
        <v>0</v>
      </c>
      <c r="S171">
        <v>0</v>
      </c>
      <c r="T171">
        <v>0</v>
      </c>
      <c r="U171">
        <v>1</v>
      </c>
      <c r="V171" s="14" t="s">
        <v>201</v>
      </c>
    </row>
    <row r="172" spans="1:22" ht="14.25" customHeight="1" x14ac:dyDescent="0.25">
      <c r="A172" s="48" t="str">
        <f>LEFT(Tabelle1[[#This Row],[Artikel'#]],4)</f>
        <v>F034</v>
      </c>
      <c r="B172" s="46" t="str">
        <f>MID(Tabelle1[[#This Row],[Artikel'#]],5,3)</f>
        <v>139</v>
      </c>
      <c r="C172" s="48" t="str">
        <f>RIGHT(Tabelle1[[#This Row],[Artikel'#]],3)</f>
        <v>495</v>
      </c>
      <c r="D172" s="46">
        <f>IF(Tabelle1[[#This Row],[Winkel2]]=select!$A$2,1,0)</f>
        <v>0</v>
      </c>
      <c r="E1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2" s="46">
        <f>IF(select!$E$16=IF(Tabelle1[[#This Row],[mit Dämpfung]]=1,1,IF(Tabelle1[[#This Row],[ohne Dämpfung]]=1,2,IF(Tabelle1[[#This Row],[ohne Feder]]=1,3,0))),1,0)</f>
        <v>0</v>
      </c>
      <c r="G172" s="46">
        <f>IF(Tabelle1[[#This Row],[Links]]=select!$I$2,1,0)</f>
        <v>0</v>
      </c>
      <c r="H172" s="46">
        <f>IF(IF(Tabelle1[[#This Row],[Anschrauben]]=1,1,IF(Tabelle1[[#This Row],[Einpressen]]=1,2,IF(Tabelle1[[#This Row],[Werkzeuglos]]=1,3,0)))=select!$E$7,1,0)</f>
        <v>0</v>
      </c>
      <c r="I172" s="46">
        <f ca="1">IF(Tabelle1[[#This Row],[Winkel]]+Tabelle1[[#This Row],[Kröpfung]]+Tabelle1[[#This Row],[Däpfung]]+Tabelle1[[#This Row],[Bohrbild]]+Tabelle1[[#This Row],[Scharnierbefestigung]]=5,1,0)</f>
        <v>0</v>
      </c>
      <c r="J172" t="str">
        <f ca="1">Sprache!$A$54</f>
        <v>TIOMOS hinge T-Impresso</v>
      </c>
      <c r="K172" t="s">
        <v>153</v>
      </c>
      <c r="L172" t="s">
        <v>73</v>
      </c>
      <c r="M172">
        <v>3</v>
      </c>
      <c r="N172" t="s">
        <v>14</v>
      </c>
      <c r="O172">
        <v>95</v>
      </c>
      <c r="P172">
        <v>0</v>
      </c>
      <c r="Q172">
        <v>1</v>
      </c>
      <c r="R172">
        <v>0</v>
      </c>
      <c r="S172">
        <v>0</v>
      </c>
      <c r="T172">
        <v>0</v>
      </c>
      <c r="U172">
        <v>1</v>
      </c>
      <c r="V172" s="14" t="s">
        <v>202</v>
      </c>
    </row>
    <row r="173" spans="1:22" ht="14.25" customHeight="1" x14ac:dyDescent="0.25">
      <c r="A173" s="48" t="str">
        <f>LEFT(Tabelle1[[#This Row],[Artikel'#]],4)</f>
        <v>F034</v>
      </c>
      <c r="B173" s="46" t="str">
        <f>MID(Tabelle1[[#This Row],[Artikel'#]],5,3)</f>
        <v>139</v>
      </c>
      <c r="C173" s="48" t="str">
        <f>RIGHT(Tabelle1[[#This Row],[Artikel'#]],3)</f>
        <v>495</v>
      </c>
      <c r="D173" s="46">
        <f>IF(Tabelle1[[#This Row],[Winkel2]]=select!$A$2,1,0)</f>
        <v>0</v>
      </c>
      <c r="E1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3" s="46">
        <f>IF(select!$E$16=IF(Tabelle1[[#This Row],[mit Dämpfung]]=1,1,IF(Tabelle1[[#This Row],[ohne Dämpfung]]=1,2,IF(Tabelle1[[#This Row],[ohne Feder]]=1,3,0))),1,0)</f>
        <v>0</v>
      </c>
      <c r="G173" s="46">
        <f>IF(Tabelle1[[#This Row],[Links]]=select!$I$2,1,0)</f>
        <v>0</v>
      </c>
      <c r="H173" s="46">
        <f>IF(IF(Tabelle1[[#This Row],[Anschrauben]]=1,1,IF(Tabelle1[[#This Row],[Einpressen]]=1,2,IF(Tabelle1[[#This Row],[Werkzeuglos]]=1,3,0)))=select!$E$7,1,0)</f>
        <v>0</v>
      </c>
      <c r="I173" s="46">
        <f ca="1">IF(Tabelle1[[#This Row],[Winkel]]+Tabelle1[[#This Row],[Kröpfung]]+Tabelle1[[#This Row],[Däpfung]]+Tabelle1[[#This Row],[Bohrbild]]+Tabelle1[[#This Row],[Scharnierbefestigung]]=5,1,0)</f>
        <v>0</v>
      </c>
      <c r="J173" t="str">
        <f ca="1">Sprache!$A$54</f>
        <v>TIOMOS hinge T-Impresso</v>
      </c>
      <c r="K173" t="s">
        <v>153</v>
      </c>
      <c r="L173" t="s">
        <v>73</v>
      </c>
      <c r="M173">
        <v>3</v>
      </c>
      <c r="N173" t="s">
        <v>15</v>
      </c>
      <c r="O173">
        <v>95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1</v>
      </c>
      <c r="V173" s="14" t="s">
        <v>202</v>
      </c>
    </row>
    <row r="174" spans="1:22" ht="14.25" customHeight="1" x14ac:dyDescent="0.25">
      <c r="A174" s="48" t="str">
        <f>LEFT(Tabelle1[[#This Row],[Artikel'#]],4)</f>
        <v>F034</v>
      </c>
      <c r="B174" s="46" t="str">
        <f>MID(Tabelle1[[#This Row],[Artikel'#]],5,3)</f>
        <v>139</v>
      </c>
      <c r="C174" s="48" t="str">
        <f>RIGHT(Tabelle1[[#This Row],[Artikel'#]],3)</f>
        <v>496</v>
      </c>
      <c r="D174" s="46">
        <f>IF(Tabelle1[[#This Row],[Winkel2]]=select!$A$2,1,0)</f>
        <v>0</v>
      </c>
      <c r="E1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74" s="46">
        <f>IF(select!$E$16=IF(Tabelle1[[#This Row],[mit Dämpfung]]=1,1,IF(Tabelle1[[#This Row],[ohne Dämpfung]]=1,2,IF(Tabelle1[[#This Row],[ohne Feder]]=1,3,0))),1,0)</f>
        <v>0</v>
      </c>
      <c r="G174" s="46">
        <f>IF(Tabelle1[[#This Row],[Links]]=select!$I$2,1,0)</f>
        <v>0</v>
      </c>
      <c r="H174" s="46">
        <f>IF(IF(Tabelle1[[#This Row],[Anschrauben]]=1,1,IF(Tabelle1[[#This Row],[Einpressen]]=1,2,IF(Tabelle1[[#This Row],[Werkzeuglos]]=1,3,0)))=select!$E$7,1,0)</f>
        <v>0</v>
      </c>
      <c r="I174" s="46">
        <f ca="1">IF(Tabelle1[[#This Row],[Winkel]]+Tabelle1[[#This Row],[Kröpfung]]+Tabelle1[[#This Row],[Däpfung]]+Tabelle1[[#This Row],[Bohrbild]]+Tabelle1[[#This Row],[Scharnierbefestigung]]=5,1,0)</f>
        <v>0</v>
      </c>
      <c r="J174" t="str">
        <f ca="1">Sprache!$A$54</f>
        <v>TIOMOS hinge T-Impresso</v>
      </c>
      <c r="K174" t="s">
        <v>155</v>
      </c>
      <c r="L174" t="s">
        <v>73</v>
      </c>
      <c r="M174">
        <v>9.5</v>
      </c>
      <c r="N174" t="s">
        <v>14</v>
      </c>
      <c r="O174">
        <v>95</v>
      </c>
      <c r="P174">
        <v>0</v>
      </c>
      <c r="Q174">
        <v>1</v>
      </c>
      <c r="R174">
        <v>0</v>
      </c>
      <c r="S174">
        <v>0</v>
      </c>
      <c r="T174">
        <v>0</v>
      </c>
      <c r="U174">
        <v>1</v>
      </c>
      <c r="V174" s="14" t="s">
        <v>203</v>
      </c>
    </row>
    <row r="175" spans="1:22" ht="14.25" customHeight="1" x14ac:dyDescent="0.25">
      <c r="A175" s="48" t="str">
        <f>LEFT(Tabelle1[[#This Row],[Artikel'#]],4)</f>
        <v>F034</v>
      </c>
      <c r="B175" s="46" t="str">
        <f>MID(Tabelle1[[#This Row],[Artikel'#]],5,3)</f>
        <v>139</v>
      </c>
      <c r="C175" s="48" t="str">
        <f>RIGHT(Tabelle1[[#This Row],[Artikel'#]],3)</f>
        <v>496</v>
      </c>
      <c r="D175" s="46">
        <f>IF(Tabelle1[[#This Row],[Winkel2]]=select!$A$2,1,0)</f>
        <v>0</v>
      </c>
      <c r="E1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75" s="46">
        <f>IF(select!$E$16=IF(Tabelle1[[#This Row],[mit Dämpfung]]=1,1,IF(Tabelle1[[#This Row],[ohne Dämpfung]]=1,2,IF(Tabelle1[[#This Row],[ohne Feder]]=1,3,0))),1,0)</f>
        <v>0</v>
      </c>
      <c r="G175" s="46">
        <f>IF(Tabelle1[[#This Row],[Links]]=select!$I$2,1,0)</f>
        <v>0</v>
      </c>
      <c r="H175" s="46">
        <f>IF(IF(Tabelle1[[#This Row],[Anschrauben]]=1,1,IF(Tabelle1[[#This Row],[Einpressen]]=1,2,IF(Tabelle1[[#This Row],[Werkzeuglos]]=1,3,0)))=select!$E$7,1,0)</f>
        <v>0</v>
      </c>
      <c r="I175" s="46">
        <f ca="1">IF(Tabelle1[[#This Row],[Winkel]]+Tabelle1[[#This Row],[Kröpfung]]+Tabelle1[[#This Row],[Däpfung]]+Tabelle1[[#This Row],[Bohrbild]]+Tabelle1[[#This Row],[Scharnierbefestigung]]=5,1,0)</f>
        <v>0</v>
      </c>
      <c r="J175" t="str">
        <f ca="1">Sprache!$A$54</f>
        <v>TIOMOS hinge T-Impresso</v>
      </c>
      <c r="K175" t="s">
        <v>155</v>
      </c>
      <c r="L175" t="s">
        <v>73</v>
      </c>
      <c r="M175">
        <v>9.5</v>
      </c>
      <c r="N175" t="s">
        <v>15</v>
      </c>
      <c r="O175">
        <v>95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1</v>
      </c>
      <c r="V175" s="14" t="s">
        <v>203</v>
      </c>
    </row>
    <row r="176" spans="1:22" ht="14.25" customHeight="1" x14ac:dyDescent="0.25">
      <c r="A176" s="48" t="str">
        <f>LEFT(Tabelle1[[#This Row],[Artikel'#]],4)</f>
        <v>F034</v>
      </c>
      <c r="B176" s="46" t="str">
        <f>MID(Tabelle1[[#This Row],[Artikel'#]],5,3)</f>
        <v>139</v>
      </c>
      <c r="C176" s="48" t="str">
        <f>RIGHT(Tabelle1[[#This Row],[Artikel'#]],3)</f>
        <v>497</v>
      </c>
      <c r="D176" s="46">
        <f>IF(Tabelle1[[#This Row],[Winkel2]]=select!$A$2,1,0)</f>
        <v>0</v>
      </c>
      <c r="E1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6" s="46">
        <f>IF(select!$E$16=IF(Tabelle1[[#This Row],[mit Dämpfung]]=1,1,IF(Tabelle1[[#This Row],[ohne Dämpfung]]=1,2,IF(Tabelle1[[#This Row],[ohne Feder]]=1,3,0))),1,0)</f>
        <v>0</v>
      </c>
      <c r="G176" s="46">
        <f>IF(Tabelle1[[#This Row],[Links]]=select!$I$2,1,0)</f>
        <v>0</v>
      </c>
      <c r="H176" s="46">
        <f>IF(IF(Tabelle1[[#This Row],[Anschrauben]]=1,1,IF(Tabelle1[[#This Row],[Einpressen]]=1,2,IF(Tabelle1[[#This Row],[Werkzeuglos]]=1,3,0)))=select!$E$7,1,0)</f>
        <v>0</v>
      </c>
      <c r="I176" s="46">
        <f ca="1">IF(Tabelle1[[#This Row],[Winkel]]+Tabelle1[[#This Row],[Kröpfung]]+Tabelle1[[#This Row],[Däpfung]]+Tabelle1[[#This Row],[Bohrbild]]+Tabelle1[[#This Row],[Scharnierbefestigung]]=5,1,0)</f>
        <v>0</v>
      </c>
      <c r="J176" t="str">
        <f ca="1">Sprache!$A$54</f>
        <v>TIOMOS hinge T-Impresso</v>
      </c>
      <c r="K176" t="s">
        <v>157</v>
      </c>
      <c r="L176" t="s">
        <v>73</v>
      </c>
      <c r="M176">
        <v>19</v>
      </c>
      <c r="N176" t="s">
        <v>14</v>
      </c>
      <c r="O176">
        <v>95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1</v>
      </c>
      <c r="V176" s="14" t="s">
        <v>204</v>
      </c>
    </row>
    <row r="177" spans="1:22" ht="14.25" customHeight="1" x14ac:dyDescent="0.25">
      <c r="A177" s="48" t="str">
        <f>LEFT(Tabelle1[[#This Row],[Artikel'#]],4)</f>
        <v>F034</v>
      </c>
      <c r="B177" s="46" t="str">
        <f>MID(Tabelle1[[#This Row],[Artikel'#]],5,3)</f>
        <v>139</v>
      </c>
      <c r="C177" s="48" t="str">
        <f>RIGHT(Tabelle1[[#This Row],[Artikel'#]],3)</f>
        <v>497</v>
      </c>
      <c r="D177" s="46">
        <f>IF(Tabelle1[[#This Row],[Winkel2]]=select!$A$2,1,0)</f>
        <v>0</v>
      </c>
      <c r="E1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7" s="46">
        <f>IF(select!$E$16=IF(Tabelle1[[#This Row],[mit Dämpfung]]=1,1,IF(Tabelle1[[#This Row],[ohne Dämpfung]]=1,2,IF(Tabelle1[[#This Row],[ohne Feder]]=1,3,0))),1,0)</f>
        <v>0</v>
      </c>
      <c r="G177" s="46">
        <f>IF(Tabelle1[[#This Row],[Links]]=select!$I$2,1,0)</f>
        <v>0</v>
      </c>
      <c r="H177" s="46">
        <f>IF(IF(Tabelle1[[#This Row],[Anschrauben]]=1,1,IF(Tabelle1[[#This Row],[Einpressen]]=1,2,IF(Tabelle1[[#This Row],[Werkzeuglos]]=1,3,0)))=select!$E$7,1,0)</f>
        <v>0</v>
      </c>
      <c r="I177" s="46">
        <f ca="1">IF(Tabelle1[[#This Row],[Winkel]]+Tabelle1[[#This Row],[Kröpfung]]+Tabelle1[[#This Row],[Däpfung]]+Tabelle1[[#This Row],[Bohrbild]]+Tabelle1[[#This Row],[Scharnierbefestigung]]=5,1,0)</f>
        <v>0</v>
      </c>
      <c r="J177" t="str">
        <f ca="1">Sprache!$A$54</f>
        <v>TIOMOS hinge T-Impresso</v>
      </c>
      <c r="K177" t="s">
        <v>157</v>
      </c>
      <c r="L177" t="s">
        <v>73</v>
      </c>
      <c r="M177">
        <v>19</v>
      </c>
      <c r="N177" t="s">
        <v>15</v>
      </c>
      <c r="O177">
        <v>95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1</v>
      </c>
      <c r="V177" s="14" t="s">
        <v>204</v>
      </c>
    </row>
    <row r="178" spans="1:22" ht="14.25" customHeight="1" x14ac:dyDescent="0.25">
      <c r="A178" s="48" t="str">
        <f>LEFT(Tabelle1[[#This Row],[Artikel'#]],4)</f>
        <v>F034</v>
      </c>
      <c r="B178" s="46" t="str">
        <f>MID(Tabelle1[[#This Row],[Artikel'#]],5,3)</f>
        <v>139</v>
      </c>
      <c r="C178" s="48" t="str">
        <f>RIGHT(Tabelle1[[#This Row],[Artikel'#]],3)</f>
        <v>556</v>
      </c>
      <c r="D178" s="46">
        <f>IF(Tabelle1[[#This Row],[Winkel2]]=select!$A$2,1,0)</f>
        <v>0</v>
      </c>
      <c r="E1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8" s="46">
        <f>IF(select!$E$16=IF(Tabelle1[[#This Row],[mit Dämpfung]]=1,1,IF(Tabelle1[[#This Row],[ohne Dämpfung]]=1,2,IF(Tabelle1[[#This Row],[ohne Feder]]=1,3,0))),1,0)</f>
        <v>0</v>
      </c>
      <c r="G178" s="46">
        <f>IF(Tabelle1[[#This Row],[Links]]=select!$I$2,1,0)</f>
        <v>0</v>
      </c>
      <c r="H178" s="46">
        <f>IF(IF(Tabelle1[[#This Row],[Anschrauben]]=1,1,IF(Tabelle1[[#This Row],[Einpressen]]=1,2,IF(Tabelle1[[#This Row],[Werkzeuglos]]=1,3,0)))=select!$E$7,1,0)</f>
        <v>0</v>
      </c>
      <c r="I178" s="46">
        <f ca="1">IF(Tabelle1[[#This Row],[Winkel]]+Tabelle1[[#This Row],[Kröpfung]]+Tabelle1[[#This Row],[Däpfung]]+Tabelle1[[#This Row],[Bohrbild]]+Tabelle1[[#This Row],[Scharnierbefestigung]]=5,1,0)</f>
        <v>0</v>
      </c>
      <c r="J178" t="str">
        <f ca="1">Sprache!$A$54</f>
        <v>TIOMOS hinge T-Impresso</v>
      </c>
      <c r="K178" t="s">
        <v>159</v>
      </c>
      <c r="L178" t="s">
        <v>73</v>
      </c>
      <c r="M178">
        <v>19</v>
      </c>
      <c r="N178" t="s">
        <v>14</v>
      </c>
      <c r="O178">
        <v>120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1</v>
      </c>
      <c r="V178" s="14" t="s">
        <v>205</v>
      </c>
    </row>
    <row r="179" spans="1:22" ht="14.25" customHeight="1" x14ac:dyDescent="0.25">
      <c r="A179" s="48" t="str">
        <f>LEFT(Tabelle1[[#This Row],[Artikel'#]],4)</f>
        <v>F034</v>
      </c>
      <c r="B179" s="46" t="str">
        <f>MID(Tabelle1[[#This Row],[Artikel'#]],5,3)</f>
        <v>139</v>
      </c>
      <c r="C179" s="48" t="str">
        <f>RIGHT(Tabelle1[[#This Row],[Artikel'#]],3)</f>
        <v>556</v>
      </c>
      <c r="D179" s="46">
        <f>IF(Tabelle1[[#This Row],[Winkel2]]=select!$A$2,1,0)</f>
        <v>0</v>
      </c>
      <c r="E1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79" s="46">
        <f>IF(select!$E$16=IF(Tabelle1[[#This Row],[mit Dämpfung]]=1,1,IF(Tabelle1[[#This Row],[ohne Dämpfung]]=1,2,IF(Tabelle1[[#This Row],[ohne Feder]]=1,3,0))),1,0)</f>
        <v>0</v>
      </c>
      <c r="G179" s="46">
        <f>IF(Tabelle1[[#This Row],[Links]]=select!$I$2,1,0)</f>
        <v>0</v>
      </c>
      <c r="H179" s="46">
        <f>IF(IF(Tabelle1[[#This Row],[Anschrauben]]=1,1,IF(Tabelle1[[#This Row],[Einpressen]]=1,2,IF(Tabelle1[[#This Row],[Werkzeuglos]]=1,3,0)))=select!$E$7,1,0)</f>
        <v>0</v>
      </c>
      <c r="I179" s="46">
        <f ca="1">IF(Tabelle1[[#This Row],[Winkel]]+Tabelle1[[#This Row],[Kröpfung]]+Tabelle1[[#This Row],[Däpfung]]+Tabelle1[[#This Row],[Bohrbild]]+Tabelle1[[#This Row],[Scharnierbefestigung]]=5,1,0)</f>
        <v>0</v>
      </c>
      <c r="J179" t="str">
        <f ca="1">Sprache!$A$54</f>
        <v>TIOMOS hinge T-Impresso</v>
      </c>
      <c r="K179" t="s">
        <v>159</v>
      </c>
      <c r="L179" t="s">
        <v>73</v>
      </c>
      <c r="M179">
        <v>19</v>
      </c>
      <c r="N179" t="s">
        <v>15</v>
      </c>
      <c r="O179">
        <v>120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1</v>
      </c>
      <c r="V179" s="14" t="s">
        <v>205</v>
      </c>
    </row>
    <row r="180" spans="1:22" ht="14.25" customHeight="1" x14ac:dyDescent="0.25">
      <c r="A180" s="48" t="str">
        <f>LEFT(Tabelle1[[#This Row],[Artikel'#]],4)</f>
        <v>F034</v>
      </c>
      <c r="B180" s="46" t="str">
        <f>MID(Tabelle1[[#This Row],[Artikel'#]],5,3)</f>
        <v>139</v>
      </c>
      <c r="C180" s="48" t="str">
        <f>RIGHT(Tabelle1[[#This Row],[Artikel'#]],3)</f>
        <v>559</v>
      </c>
      <c r="D180" s="46">
        <f>IF(Tabelle1[[#This Row],[Winkel2]]=select!$A$2,1,0)</f>
        <v>0</v>
      </c>
      <c r="E1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0" s="46">
        <f>IF(select!$E$16=IF(Tabelle1[[#This Row],[mit Dämpfung]]=1,1,IF(Tabelle1[[#This Row],[ohne Dämpfung]]=1,2,IF(Tabelle1[[#This Row],[ohne Feder]]=1,3,0))),1,0)</f>
        <v>0</v>
      </c>
      <c r="G180" s="46">
        <f>IF(Tabelle1[[#This Row],[Links]]=select!$I$2,1,0)</f>
        <v>0</v>
      </c>
      <c r="H180" s="46">
        <f>IF(IF(Tabelle1[[#This Row],[Anschrauben]]=1,1,IF(Tabelle1[[#This Row],[Einpressen]]=1,2,IF(Tabelle1[[#This Row],[Werkzeuglos]]=1,3,0)))=select!$E$7,1,0)</f>
        <v>0</v>
      </c>
      <c r="I180" s="46">
        <f ca="1">IF(Tabelle1[[#This Row],[Winkel]]+Tabelle1[[#This Row],[Kröpfung]]+Tabelle1[[#This Row],[Däpfung]]+Tabelle1[[#This Row],[Bohrbild]]+Tabelle1[[#This Row],[Scharnierbefestigung]]=5,1,0)</f>
        <v>0</v>
      </c>
      <c r="J180" t="str">
        <f ca="1">Sprache!$A$54</f>
        <v>TIOMOS hinge T-Impresso</v>
      </c>
      <c r="K180" t="s">
        <v>161</v>
      </c>
      <c r="L180" t="s">
        <v>73</v>
      </c>
      <c r="M180">
        <v>19</v>
      </c>
      <c r="N180" t="s">
        <v>13</v>
      </c>
      <c r="O180">
        <v>120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1</v>
      </c>
      <c r="V180" s="14" t="s">
        <v>206</v>
      </c>
    </row>
    <row r="181" spans="1:22" ht="14.25" customHeight="1" x14ac:dyDescent="0.25">
      <c r="A181" s="48" t="str">
        <f>LEFT(Tabelle1[[#This Row],[Artikel'#]],4)</f>
        <v>F034</v>
      </c>
      <c r="B181" s="46" t="str">
        <f>MID(Tabelle1[[#This Row],[Artikel'#]],5,3)</f>
        <v>139</v>
      </c>
      <c r="C181" s="48" t="str">
        <f>RIGHT(Tabelle1[[#This Row],[Artikel'#]],3)</f>
        <v>559</v>
      </c>
      <c r="D181" s="46">
        <f>IF(Tabelle1[[#This Row],[Winkel2]]=select!$A$2,1,0)</f>
        <v>0</v>
      </c>
      <c r="E1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1" s="46">
        <f>IF(select!$E$16=IF(Tabelle1[[#This Row],[mit Dämpfung]]=1,1,IF(Tabelle1[[#This Row],[ohne Dämpfung]]=1,2,IF(Tabelle1[[#This Row],[ohne Feder]]=1,3,0))),1,0)</f>
        <v>0</v>
      </c>
      <c r="G181" s="46">
        <f>IF(Tabelle1[[#This Row],[Links]]=select!$I$2,1,0)</f>
        <v>1</v>
      </c>
      <c r="H181" s="46">
        <f>IF(IF(Tabelle1[[#This Row],[Anschrauben]]=1,1,IF(Tabelle1[[#This Row],[Einpressen]]=1,2,IF(Tabelle1[[#This Row],[Werkzeuglos]]=1,3,0)))=select!$E$7,1,0)</f>
        <v>0</v>
      </c>
      <c r="I181" s="46">
        <f ca="1">IF(Tabelle1[[#This Row],[Winkel]]+Tabelle1[[#This Row],[Kröpfung]]+Tabelle1[[#This Row],[Däpfung]]+Tabelle1[[#This Row],[Bohrbild]]+Tabelle1[[#This Row],[Scharnierbefestigung]]=5,1,0)</f>
        <v>0</v>
      </c>
      <c r="J181" t="str">
        <f ca="1">Sprache!$A$54</f>
        <v>TIOMOS hinge T-Impresso</v>
      </c>
      <c r="K181" t="s">
        <v>161</v>
      </c>
      <c r="L181" t="s">
        <v>73</v>
      </c>
      <c r="M181">
        <v>19</v>
      </c>
      <c r="N181" t="s">
        <v>3</v>
      </c>
      <c r="O181">
        <v>120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1</v>
      </c>
      <c r="V181" s="14" t="s">
        <v>206</v>
      </c>
    </row>
    <row r="182" spans="1:22" ht="14.25" customHeight="1" x14ac:dyDescent="0.25">
      <c r="A182" s="48" t="str">
        <f>LEFT(Tabelle1[[#This Row],[Artikel'#]],4)</f>
        <v>F035</v>
      </c>
      <c r="B182" s="46" t="str">
        <f>MID(Tabelle1[[#This Row],[Artikel'#]],5,3)</f>
        <v>139</v>
      </c>
      <c r="C182" s="48" t="str">
        <f>RIGHT(Tabelle1[[#This Row],[Artikel'#]],3)</f>
        <v>357</v>
      </c>
      <c r="D182" s="46">
        <f>IF(Tabelle1[[#This Row],[Winkel2]]=select!$A$2,1,0)</f>
        <v>1</v>
      </c>
      <c r="E1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2" s="46">
        <f>IF(select!$E$16=IF(Tabelle1[[#This Row],[mit Dämpfung]]=1,1,IF(Tabelle1[[#This Row],[ohne Dämpfung]]=1,2,IF(Tabelle1[[#This Row],[ohne Feder]]=1,3,0))),1,0)</f>
        <v>0</v>
      </c>
      <c r="G182" s="46">
        <f>IF(Tabelle1[[#This Row],[Links]]=select!$I$2,1,0)</f>
        <v>0</v>
      </c>
      <c r="H182" s="46">
        <f>IF(IF(Tabelle1[[#This Row],[Anschrauben]]=1,1,IF(Tabelle1[[#This Row],[Einpressen]]=1,2,IF(Tabelle1[[#This Row],[Werkzeuglos]]=1,3,0)))=select!$E$7,1,0)</f>
        <v>0</v>
      </c>
      <c r="I182" s="46">
        <f ca="1">IF(Tabelle1[[#This Row],[Winkel]]+Tabelle1[[#This Row],[Kröpfung]]+Tabelle1[[#This Row],[Däpfung]]+Tabelle1[[#This Row],[Bohrbild]]+Tabelle1[[#This Row],[Scharnierbefestigung]]=5,1,0)</f>
        <v>0</v>
      </c>
      <c r="J182" t="str">
        <f ca="1">Sprache!$A$58</f>
        <v>TIOMOS hinge TT-Impresso</v>
      </c>
      <c r="K182" t="s">
        <v>72</v>
      </c>
      <c r="L182" t="s">
        <v>73</v>
      </c>
      <c r="M182">
        <v>0</v>
      </c>
      <c r="N182" t="s">
        <v>12</v>
      </c>
      <c r="O182">
        <v>110</v>
      </c>
      <c r="P182">
        <v>0</v>
      </c>
      <c r="Q182">
        <v>0</v>
      </c>
      <c r="R182">
        <v>1</v>
      </c>
      <c r="S182">
        <v>0</v>
      </c>
      <c r="T182">
        <v>0</v>
      </c>
      <c r="U182">
        <v>1</v>
      </c>
      <c r="V182" s="14" t="s">
        <v>49</v>
      </c>
    </row>
    <row r="183" spans="1:22" ht="14.25" customHeight="1" x14ac:dyDescent="0.25">
      <c r="A183" s="48" t="str">
        <f>LEFT(Tabelle1[[#This Row],[Artikel'#]],4)</f>
        <v>F035</v>
      </c>
      <c r="B183" s="46" t="str">
        <f>MID(Tabelle1[[#This Row],[Artikel'#]],5,3)</f>
        <v>139</v>
      </c>
      <c r="C183" s="48" t="str">
        <f>RIGHT(Tabelle1[[#This Row],[Artikel'#]],3)</f>
        <v>357</v>
      </c>
      <c r="D183" s="46">
        <f>IF(Tabelle1[[#This Row],[Winkel2]]=select!$A$2,1,0)</f>
        <v>1</v>
      </c>
      <c r="E1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3" s="46">
        <f>IF(select!$E$16=IF(Tabelle1[[#This Row],[mit Dämpfung]]=1,1,IF(Tabelle1[[#This Row],[ohne Dämpfung]]=1,2,IF(Tabelle1[[#This Row],[ohne Feder]]=1,3,0))),1,0)</f>
        <v>0</v>
      </c>
      <c r="G183" s="46">
        <f>IF(Tabelle1[[#This Row],[Links]]=select!$I$2,1,0)</f>
        <v>1</v>
      </c>
      <c r="H183" s="46">
        <f>IF(IF(Tabelle1[[#This Row],[Anschrauben]]=1,1,IF(Tabelle1[[#This Row],[Einpressen]]=1,2,IF(Tabelle1[[#This Row],[Werkzeuglos]]=1,3,0)))=select!$E$7,1,0)</f>
        <v>0</v>
      </c>
      <c r="I183" s="46">
        <f ca="1">IF(Tabelle1[[#This Row],[Winkel]]+Tabelle1[[#This Row],[Kröpfung]]+Tabelle1[[#This Row],[Däpfung]]+Tabelle1[[#This Row],[Bohrbild]]+Tabelle1[[#This Row],[Scharnierbefestigung]]=5,1,0)</f>
        <v>0</v>
      </c>
      <c r="J183" t="str">
        <f ca="1">Sprache!$A$58</f>
        <v>TIOMOS hinge TT-Impresso</v>
      </c>
      <c r="K183" t="s">
        <v>72</v>
      </c>
      <c r="L183" t="s">
        <v>73</v>
      </c>
      <c r="M183">
        <v>0</v>
      </c>
      <c r="N183" t="s">
        <v>3</v>
      </c>
      <c r="O183">
        <v>110</v>
      </c>
      <c r="P183">
        <v>0</v>
      </c>
      <c r="Q183">
        <v>0</v>
      </c>
      <c r="R183">
        <v>1</v>
      </c>
      <c r="S183">
        <v>0</v>
      </c>
      <c r="T183">
        <v>0</v>
      </c>
      <c r="U183">
        <v>1</v>
      </c>
      <c r="V183" s="14" t="s">
        <v>49</v>
      </c>
    </row>
    <row r="184" spans="1:22" ht="14.25" customHeight="1" x14ac:dyDescent="0.25">
      <c r="A184" s="48" t="str">
        <f>LEFT(Tabelle1[[#This Row],[Artikel'#]],4)</f>
        <v>F035</v>
      </c>
      <c r="B184" s="46" t="str">
        <f>MID(Tabelle1[[#This Row],[Artikel'#]],5,3)</f>
        <v>139</v>
      </c>
      <c r="C184" s="48" t="str">
        <f>RIGHT(Tabelle1[[#This Row],[Artikel'#]],3)</f>
        <v>358</v>
      </c>
      <c r="D184" s="46">
        <f>IF(Tabelle1[[#This Row],[Winkel2]]=select!$A$2,1,0)</f>
        <v>1</v>
      </c>
      <c r="E1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4" s="46">
        <f>IF(select!$E$16=IF(Tabelle1[[#This Row],[mit Dämpfung]]=1,1,IF(Tabelle1[[#This Row],[ohne Dämpfung]]=1,2,IF(Tabelle1[[#This Row],[ohne Feder]]=1,3,0))),1,0)</f>
        <v>0</v>
      </c>
      <c r="G184" s="46">
        <f>IF(Tabelle1[[#This Row],[Links]]=select!$I$2,1,0)</f>
        <v>0</v>
      </c>
      <c r="H184" s="46">
        <f>IF(IF(Tabelle1[[#This Row],[Anschrauben]]=1,1,IF(Tabelle1[[#This Row],[Einpressen]]=1,2,IF(Tabelle1[[#This Row],[Werkzeuglos]]=1,3,0)))=select!$E$7,1,0)</f>
        <v>0</v>
      </c>
      <c r="I184" s="46">
        <f ca="1">IF(Tabelle1[[#This Row],[Winkel]]+Tabelle1[[#This Row],[Kröpfung]]+Tabelle1[[#This Row],[Däpfung]]+Tabelle1[[#This Row],[Bohrbild]]+Tabelle1[[#This Row],[Scharnierbefestigung]]=5,1,0)</f>
        <v>0</v>
      </c>
      <c r="J184" t="str">
        <f ca="1">Sprache!$A$58</f>
        <v>TIOMOS hinge TT-Impresso</v>
      </c>
      <c r="K184" t="s">
        <v>75</v>
      </c>
      <c r="L184" t="s">
        <v>73</v>
      </c>
      <c r="M184">
        <v>3</v>
      </c>
      <c r="N184" t="s">
        <v>12</v>
      </c>
      <c r="O184">
        <v>110</v>
      </c>
      <c r="P184">
        <v>0</v>
      </c>
      <c r="Q184">
        <v>0</v>
      </c>
      <c r="R184">
        <v>1</v>
      </c>
      <c r="S184">
        <v>0</v>
      </c>
      <c r="T184">
        <v>0</v>
      </c>
      <c r="U184">
        <v>1</v>
      </c>
      <c r="V184" s="14" t="s">
        <v>208</v>
      </c>
    </row>
    <row r="185" spans="1:22" ht="14.25" customHeight="1" x14ac:dyDescent="0.25">
      <c r="A185" s="48" t="str">
        <f>LEFT(Tabelle1[[#This Row],[Artikel'#]],4)</f>
        <v>F035</v>
      </c>
      <c r="B185" s="46" t="str">
        <f>MID(Tabelle1[[#This Row],[Artikel'#]],5,3)</f>
        <v>139</v>
      </c>
      <c r="C185" s="48" t="str">
        <f>RIGHT(Tabelle1[[#This Row],[Artikel'#]],3)</f>
        <v>358</v>
      </c>
      <c r="D185" s="46">
        <f>IF(Tabelle1[[#This Row],[Winkel2]]=select!$A$2,1,0)</f>
        <v>1</v>
      </c>
      <c r="E1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5" s="46">
        <f>IF(select!$E$16=IF(Tabelle1[[#This Row],[mit Dämpfung]]=1,1,IF(Tabelle1[[#This Row],[ohne Dämpfung]]=1,2,IF(Tabelle1[[#This Row],[ohne Feder]]=1,3,0))),1,0)</f>
        <v>0</v>
      </c>
      <c r="G185" s="46">
        <f>IF(Tabelle1[[#This Row],[Links]]=select!$I$2,1,0)</f>
        <v>1</v>
      </c>
      <c r="H185" s="46">
        <f>IF(IF(Tabelle1[[#This Row],[Anschrauben]]=1,1,IF(Tabelle1[[#This Row],[Einpressen]]=1,2,IF(Tabelle1[[#This Row],[Werkzeuglos]]=1,3,0)))=select!$E$7,1,0)</f>
        <v>0</v>
      </c>
      <c r="I185" s="46">
        <f ca="1">IF(Tabelle1[[#This Row],[Winkel]]+Tabelle1[[#This Row],[Kröpfung]]+Tabelle1[[#This Row],[Däpfung]]+Tabelle1[[#This Row],[Bohrbild]]+Tabelle1[[#This Row],[Scharnierbefestigung]]=5,1,0)</f>
        <v>0</v>
      </c>
      <c r="J185" t="str">
        <f ca="1">Sprache!$A$58</f>
        <v>TIOMOS hinge TT-Impresso</v>
      </c>
      <c r="K185" t="s">
        <v>75</v>
      </c>
      <c r="L185" t="s">
        <v>73</v>
      </c>
      <c r="M185">
        <v>3</v>
      </c>
      <c r="N185" t="s">
        <v>3</v>
      </c>
      <c r="O185">
        <v>110</v>
      </c>
      <c r="P185">
        <v>0</v>
      </c>
      <c r="Q185">
        <v>0</v>
      </c>
      <c r="R185">
        <v>1</v>
      </c>
      <c r="S185">
        <v>0</v>
      </c>
      <c r="T185">
        <v>0</v>
      </c>
      <c r="U185">
        <v>1</v>
      </c>
      <c r="V185" s="14" t="s">
        <v>208</v>
      </c>
    </row>
    <row r="186" spans="1:22" ht="14.25" customHeight="1" x14ac:dyDescent="0.25">
      <c r="A186" s="48" t="str">
        <f>LEFT(Tabelle1[[#This Row],[Artikel'#]],4)</f>
        <v>F035</v>
      </c>
      <c r="B186" s="46" t="str">
        <f>MID(Tabelle1[[#This Row],[Artikel'#]],5,3)</f>
        <v>139</v>
      </c>
      <c r="C186" s="48" t="str">
        <f>RIGHT(Tabelle1[[#This Row],[Artikel'#]],3)</f>
        <v>359</v>
      </c>
      <c r="D186" s="46">
        <f>IF(Tabelle1[[#This Row],[Winkel2]]=select!$A$2,1,0)</f>
        <v>1</v>
      </c>
      <c r="E1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86" s="46">
        <f>IF(select!$E$16=IF(Tabelle1[[#This Row],[mit Dämpfung]]=1,1,IF(Tabelle1[[#This Row],[ohne Dämpfung]]=1,2,IF(Tabelle1[[#This Row],[ohne Feder]]=1,3,0))),1,0)</f>
        <v>0</v>
      </c>
      <c r="G186" s="46">
        <f>IF(Tabelle1[[#This Row],[Links]]=select!$I$2,1,0)</f>
        <v>0</v>
      </c>
      <c r="H186" s="46">
        <f>IF(IF(Tabelle1[[#This Row],[Anschrauben]]=1,1,IF(Tabelle1[[#This Row],[Einpressen]]=1,2,IF(Tabelle1[[#This Row],[Werkzeuglos]]=1,3,0)))=select!$E$7,1,0)</f>
        <v>0</v>
      </c>
      <c r="I186" s="46">
        <f ca="1">IF(Tabelle1[[#This Row],[Winkel]]+Tabelle1[[#This Row],[Kröpfung]]+Tabelle1[[#This Row],[Däpfung]]+Tabelle1[[#This Row],[Bohrbild]]+Tabelle1[[#This Row],[Scharnierbefestigung]]=5,1,0)</f>
        <v>0</v>
      </c>
      <c r="J186" t="str">
        <f ca="1">Sprache!$A$58</f>
        <v>TIOMOS hinge TT-Impresso</v>
      </c>
      <c r="K186" t="s">
        <v>77</v>
      </c>
      <c r="L186" t="s">
        <v>73</v>
      </c>
      <c r="M186">
        <v>9.5</v>
      </c>
      <c r="N186" t="s">
        <v>12</v>
      </c>
      <c r="O186">
        <v>110</v>
      </c>
      <c r="P186">
        <v>0</v>
      </c>
      <c r="Q186">
        <v>0</v>
      </c>
      <c r="R186">
        <v>1</v>
      </c>
      <c r="S186">
        <v>0</v>
      </c>
      <c r="T186">
        <v>0</v>
      </c>
      <c r="U186">
        <v>1</v>
      </c>
      <c r="V186" s="14" t="s">
        <v>209</v>
      </c>
    </row>
    <row r="187" spans="1:22" ht="14.25" customHeight="1" x14ac:dyDescent="0.25">
      <c r="A187" s="48" t="str">
        <f>LEFT(Tabelle1[[#This Row],[Artikel'#]],4)</f>
        <v>F035</v>
      </c>
      <c r="B187" s="46" t="str">
        <f>MID(Tabelle1[[#This Row],[Artikel'#]],5,3)</f>
        <v>139</v>
      </c>
      <c r="C187" s="48" t="str">
        <f>RIGHT(Tabelle1[[#This Row],[Artikel'#]],3)</f>
        <v>359</v>
      </c>
      <c r="D187" s="46">
        <f>IF(Tabelle1[[#This Row],[Winkel2]]=select!$A$2,1,0)</f>
        <v>1</v>
      </c>
      <c r="E1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87" s="46">
        <f>IF(select!$E$16=IF(Tabelle1[[#This Row],[mit Dämpfung]]=1,1,IF(Tabelle1[[#This Row],[ohne Dämpfung]]=1,2,IF(Tabelle1[[#This Row],[ohne Feder]]=1,3,0))),1,0)</f>
        <v>0</v>
      </c>
      <c r="G187" s="46">
        <f>IF(Tabelle1[[#This Row],[Links]]=select!$I$2,1,0)</f>
        <v>1</v>
      </c>
      <c r="H187" s="46">
        <f>IF(IF(Tabelle1[[#This Row],[Anschrauben]]=1,1,IF(Tabelle1[[#This Row],[Einpressen]]=1,2,IF(Tabelle1[[#This Row],[Werkzeuglos]]=1,3,0)))=select!$E$7,1,0)</f>
        <v>0</v>
      </c>
      <c r="I187" s="46">
        <f ca="1">IF(Tabelle1[[#This Row],[Winkel]]+Tabelle1[[#This Row],[Kröpfung]]+Tabelle1[[#This Row],[Däpfung]]+Tabelle1[[#This Row],[Bohrbild]]+Tabelle1[[#This Row],[Scharnierbefestigung]]=5,1,0)</f>
        <v>0</v>
      </c>
      <c r="J187" t="str">
        <f ca="1">Sprache!$A$58</f>
        <v>TIOMOS hinge TT-Impresso</v>
      </c>
      <c r="K187" t="s">
        <v>77</v>
      </c>
      <c r="L187" t="s">
        <v>73</v>
      </c>
      <c r="M187">
        <v>9.5</v>
      </c>
      <c r="N187" t="s">
        <v>3</v>
      </c>
      <c r="O187">
        <v>110</v>
      </c>
      <c r="P187">
        <v>0</v>
      </c>
      <c r="Q187">
        <v>0</v>
      </c>
      <c r="R187">
        <v>1</v>
      </c>
      <c r="S187">
        <v>0</v>
      </c>
      <c r="T187">
        <v>0</v>
      </c>
      <c r="U187">
        <v>1</v>
      </c>
      <c r="V187" s="14" t="s">
        <v>209</v>
      </c>
    </row>
    <row r="188" spans="1:22" ht="14.25" customHeight="1" x14ac:dyDescent="0.25">
      <c r="A188" s="48" t="str">
        <f>LEFT(Tabelle1[[#This Row],[Artikel'#]],4)</f>
        <v>F035</v>
      </c>
      <c r="B188" s="46" t="str">
        <f>MID(Tabelle1[[#This Row],[Artikel'#]],5,3)</f>
        <v>139</v>
      </c>
      <c r="C188" s="48" t="str">
        <f>RIGHT(Tabelle1[[#This Row],[Artikel'#]],3)</f>
        <v>360</v>
      </c>
      <c r="D188" s="46">
        <f>IF(Tabelle1[[#This Row],[Winkel2]]=select!$A$2,1,0)</f>
        <v>1</v>
      </c>
      <c r="E1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8" s="46">
        <f>IF(select!$E$16=IF(Tabelle1[[#This Row],[mit Dämpfung]]=1,1,IF(Tabelle1[[#This Row],[ohne Dämpfung]]=1,2,IF(Tabelle1[[#This Row],[ohne Feder]]=1,3,0))),1,0)</f>
        <v>0</v>
      </c>
      <c r="G188" s="46">
        <f>IF(Tabelle1[[#This Row],[Links]]=select!$I$2,1,0)</f>
        <v>0</v>
      </c>
      <c r="H188" s="46">
        <f>IF(IF(Tabelle1[[#This Row],[Anschrauben]]=1,1,IF(Tabelle1[[#This Row],[Einpressen]]=1,2,IF(Tabelle1[[#This Row],[Werkzeuglos]]=1,3,0)))=select!$E$7,1,0)</f>
        <v>0</v>
      </c>
      <c r="I188" s="46">
        <f ca="1">IF(Tabelle1[[#This Row],[Winkel]]+Tabelle1[[#This Row],[Kröpfung]]+Tabelle1[[#This Row],[Däpfung]]+Tabelle1[[#This Row],[Bohrbild]]+Tabelle1[[#This Row],[Scharnierbefestigung]]=5,1,0)</f>
        <v>0</v>
      </c>
      <c r="J188" t="str">
        <f ca="1">Sprache!$A$58</f>
        <v>TIOMOS hinge TT-Impresso</v>
      </c>
      <c r="K188" t="s">
        <v>79</v>
      </c>
      <c r="L188" t="s">
        <v>73</v>
      </c>
      <c r="M188">
        <v>19</v>
      </c>
      <c r="N188" t="s">
        <v>12</v>
      </c>
      <c r="O188">
        <v>110</v>
      </c>
      <c r="P188">
        <v>0</v>
      </c>
      <c r="Q188">
        <v>0</v>
      </c>
      <c r="R188">
        <v>1</v>
      </c>
      <c r="S188">
        <v>0</v>
      </c>
      <c r="T188">
        <v>0</v>
      </c>
      <c r="U188">
        <v>1</v>
      </c>
      <c r="V188" s="14" t="s">
        <v>210</v>
      </c>
    </row>
    <row r="189" spans="1:22" ht="14.25" customHeight="1" x14ac:dyDescent="0.25">
      <c r="A189" s="48" t="str">
        <f>LEFT(Tabelle1[[#This Row],[Artikel'#]],4)</f>
        <v>F035</v>
      </c>
      <c r="B189" s="46" t="str">
        <f>MID(Tabelle1[[#This Row],[Artikel'#]],5,3)</f>
        <v>139</v>
      </c>
      <c r="C189" s="48" t="str">
        <f>RIGHT(Tabelle1[[#This Row],[Artikel'#]],3)</f>
        <v>360</v>
      </c>
      <c r="D189" s="46">
        <f>IF(Tabelle1[[#This Row],[Winkel2]]=select!$A$2,1,0)</f>
        <v>1</v>
      </c>
      <c r="E1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89" s="46">
        <f>IF(select!$E$16=IF(Tabelle1[[#This Row],[mit Dämpfung]]=1,1,IF(Tabelle1[[#This Row],[ohne Dämpfung]]=1,2,IF(Tabelle1[[#This Row],[ohne Feder]]=1,3,0))),1,0)</f>
        <v>0</v>
      </c>
      <c r="G189" s="46">
        <f>IF(Tabelle1[[#This Row],[Links]]=select!$I$2,1,0)</f>
        <v>1</v>
      </c>
      <c r="H189" s="46">
        <f>IF(IF(Tabelle1[[#This Row],[Anschrauben]]=1,1,IF(Tabelle1[[#This Row],[Einpressen]]=1,2,IF(Tabelle1[[#This Row],[Werkzeuglos]]=1,3,0)))=select!$E$7,1,0)</f>
        <v>0</v>
      </c>
      <c r="I189" s="46">
        <f ca="1">IF(Tabelle1[[#This Row],[Winkel]]+Tabelle1[[#This Row],[Kröpfung]]+Tabelle1[[#This Row],[Däpfung]]+Tabelle1[[#This Row],[Bohrbild]]+Tabelle1[[#This Row],[Scharnierbefestigung]]=5,1,0)</f>
        <v>0</v>
      </c>
      <c r="J189" t="str">
        <f ca="1">Sprache!$A$58</f>
        <v>TIOMOS hinge TT-Impresso</v>
      </c>
      <c r="K189" t="s">
        <v>79</v>
      </c>
      <c r="L189" t="s">
        <v>73</v>
      </c>
      <c r="M189">
        <v>19</v>
      </c>
      <c r="N189" t="s">
        <v>3</v>
      </c>
      <c r="O189">
        <v>110</v>
      </c>
      <c r="P189">
        <v>0</v>
      </c>
      <c r="Q189">
        <v>0</v>
      </c>
      <c r="R189">
        <v>1</v>
      </c>
      <c r="S189">
        <v>0</v>
      </c>
      <c r="T189">
        <v>0</v>
      </c>
      <c r="U189">
        <v>1</v>
      </c>
      <c r="V189" s="14" t="s">
        <v>210</v>
      </c>
    </row>
    <row r="190" spans="1:22" ht="14.25" customHeight="1" x14ac:dyDescent="0.25">
      <c r="A190" s="48" t="str">
        <f>LEFT(Tabelle1[[#This Row],[Artikel'#]],4)</f>
        <v>F035</v>
      </c>
      <c r="B190" s="46" t="str">
        <f>MID(Tabelle1[[#This Row],[Artikel'#]],5,3)</f>
        <v>139</v>
      </c>
      <c r="C190" s="48" t="str">
        <f>RIGHT(Tabelle1[[#This Row],[Artikel'#]],3)</f>
        <v>371</v>
      </c>
      <c r="D190" s="46">
        <f>IF(Tabelle1[[#This Row],[Winkel2]]=select!$A$2,1,0)</f>
        <v>0</v>
      </c>
      <c r="E1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0" s="46">
        <f>IF(select!$E$16=IF(Tabelle1[[#This Row],[mit Dämpfung]]=1,1,IF(Tabelle1[[#This Row],[ohne Dämpfung]]=1,2,IF(Tabelle1[[#This Row],[ohne Feder]]=1,3,0))),1,0)</f>
        <v>0</v>
      </c>
      <c r="G190" s="46">
        <f>IF(Tabelle1[[#This Row],[Links]]=select!$I$2,1,0)</f>
        <v>0</v>
      </c>
      <c r="H190" s="46">
        <f>IF(IF(Tabelle1[[#This Row],[Anschrauben]]=1,1,IF(Tabelle1[[#This Row],[Einpressen]]=1,2,IF(Tabelle1[[#This Row],[Werkzeuglos]]=1,3,0)))=select!$E$7,1,0)</f>
        <v>0</v>
      </c>
      <c r="I190" s="46">
        <f ca="1">IF(Tabelle1[[#This Row],[Winkel]]+Tabelle1[[#This Row],[Kröpfung]]+Tabelle1[[#This Row],[Däpfung]]+Tabelle1[[#This Row],[Bohrbild]]+Tabelle1[[#This Row],[Scharnierbefestigung]]=5,1,0)</f>
        <v>0</v>
      </c>
      <c r="J190" t="str">
        <f ca="1">Sprache!$A$58</f>
        <v>TIOMOS hinge TT-Impresso</v>
      </c>
      <c r="K190" t="s">
        <v>81</v>
      </c>
      <c r="L190" t="s">
        <v>73</v>
      </c>
      <c r="M190">
        <v>0</v>
      </c>
      <c r="N190" t="s">
        <v>12</v>
      </c>
      <c r="O190">
        <v>120</v>
      </c>
      <c r="P190">
        <v>0</v>
      </c>
      <c r="Q190">
        <v>0</v>
      </c>
      <c r="R190">
        <v>1</v>
      </c>
      <c r="S190">
        <v>0</v>
      </c>
      <c r="T190">
        <v>0</v>
      </c>
      <c r="U190">
        <v>1</v>
      </c>
      <c r="V190" s="14" t="s">
        <v>211</v>
      </c>
    </row>
    <row r="191" spans="1:22" ht="14.25" customHeight="1" x14ac:dyDescent="0.25">
      <c r="A191" s="48" t="str">
        <f>LEFT(Tabelle1[[#This Row],[Artikel'#]],4)</f>
        <v>F035</v>
      </c>
      <c r="B191" s="46" t="str">
        <f>MID(Tabelle1[[#This Row],[Artikel'#]],5,3)</f>
        <v>139</v>
      </c>
      <c r="C191" s="48" t="str">
        <f>RIGHT(Tabelle1[[#This Row],[Artikel'#]],3)</f>
        <v>371</v>
      </c>
      <c r="D191" s="46">
        <f>IF(Tabelle1[[#This Row],[Winkel2]]=select!$A$2,1,0)</f>
        <v>0</v>
      </c>
      <c r="E1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1" s="46">
        <f>IF(select!$E$16=IF(Tabelle1[[#This Row],[mit Dämpfung]]=1,1,IF(Tabelle1[[#This Row],[ohne Dämpfung]]=1,2,IF(Tabelle1[[#This Row],[ohne Feder]]=1,3,0))),1,0)</f>
        <v>0</v>
      </c>
      <c r="G191" s="46">
        <f>IF(Tabelle1[[#This Row],[Links]]=select!$I$2,1,0)</f>
        <v>1</v>
      </c>
      <c r="H191" s="46">
        <f>IF(IF(Tabelle1[[#This Row],[Anschrauben]]=1,1,IF(Tabelle1[[#This Row],[Einpressen]]=1,2,IF(Tabelle1[[#This Row],[Werkzeuglos]]=1,3,0)))=select!$E$7,1,0)</f>
        <v>0</v>
      </c>
      <c r="I191" s="46">
        <f ca="1">IF(Tabelle1[[#This Row],[Winkel]]+Tabelle1[[#This Row],[Kröpfung]]+Tabelle1[[#This Row],[Däpfung]]+Tabelle1[[#This Row],[Bohrbild]]+Tabelle1[[#This Row],[Scharnierbefestigung]]=5,1,0)</f>
        <v>0</v>
      </c>
      <c r="J191" t="str">
        <f ca="1">Sprache!$A$58</f>
        <v>TIOMOS hinge TT-Impresso</v>
      </c>
      <c r="K191" t="s">
        <v>81</v>
      </c>
      <c r="L191" t="s">
        <v>73</v>
      </c>
      <c r="M191">
        <v>0</v>
      </c>
      <c r="N191" t="s">
        <v>3</v>
      </c>
      <c r="O191">
        <v>120</v>
      </c>
      <c r="P191">
        <v>0</v>
      </c>
      <c r="Q191">
        <v>0</v>
      </c>
      <c r="R191">
        <v>1</v>
      </c>
      <c r="S191">
        <v>0</v>
      </c>
      <c r="T191">
        <v>0</v>
      </c>
      <c r="U191">
        <v>1</v>
      </c>
      <c r="V191" s="14" t="s">
        <v>211</v>
      </c>
    </row>
    <row r="192" spans="1:22" ht="14.25" customHeight="1" x14ac:dyDescent="0.25">
      <c r="A192" s="48" t="str">
        <f>LEFT(Tabelle1[[#This Row],[Artikel'#]],4)</f>
        <v>F035</v>
      </c>
      <c r="B192" s="46" t="str">
        <f>MID(Tabelle1[[#This Row],[Artikel'#]],5,3)</f>
        <v>139</v>
      </c>
      <c r="C192" s="48" t="str">
        <f>RIGHT(Tabelle1[[#This Row],[Artikel'#]],3)</f>
        <v>372</v>
      </c>
      <c r="D192" s="46">
        <f>IF(Tabelle1[[#This Row],[Winkel2]]=select!$A$2,1,0)</f>
        <v>0</v>
      </c>
      <c r="E1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2" s="46">
        <f>IF(select!$E$16=IF(Tabelle1[[#This Row],[mit Dämpfung]]=1,1,IF(Tabelle1[[#This Row],[ohne Dämpfung]]=1,2,IF(Tabelle1[[#This Row],[ohne Feder]]=1,3,0))),1,0)</f>
        <v>0</v>
      </c>
      <c r="G192" s="46">
        <f>IF(Tabelle1[[#This Row],[Links]]=select!$I$2,1,0)</f>
        <v>0</v>
      </c>
      <c r="H192" s="46">
        <f>IF(IF(Tabelle1[[#This Row],[Anschrauben]]=1,1,IF(Tabelle1[[#This Row],[Einpressen]]=1,2,IF(Tabelle1[[#This Row],[Werkzeuglos]]=1,3,0)))=select!$E$7,1,0)</f>
        <v>0</v>
      </c>
      <c r="I192" s="46">
        <f ca="1">IF(Tabelle1[[#This Row],[Winkel]]+Tabelle1[[#This Row],[Kröpfung]]+Tabelle1[[#This Row],[Däpfung]]+Tabelle1[[#This Row],[Bohrbild]]+Tabelle1[[#This Row],[Scharnierbefestigung]]=5,1,0)</f>
        <v>0</v>
      </c>
      <c r="J192" t="str">
        <f ca="1">Sprache!$A$58</f>
        <v>TIOMOS hinge TT-Impresso</v>
      </c>
      <c r="K192" t="s">
        <v>83</v>
      </c>
      <c r="L192" t="s">
        <v>73</v>
      </c>
      <c r="M192">
        <v>3</v>
      </c>
      <c r="N192" t="s">
        <v>12</v>
      </c>
      <c r="O192">
        <v>120</v>
      </c>
      <c r="P192">
        <v>0</v>
      </c>
      <c r="Q192">
        <v>0</v>
      </c>
      <c r="R192">
        <v>1</v>
      </c>
      <c r="S192">
        <v>0</v>
      </c>
      <c r="T192">
        <v>0</v>
      </c>
      <c r="U192">
        <v>1</v>
      </c>
      <c r="V192" s="14" t="s">
        <v>212</v>
      </c>
    </row>
    <row r="193" spans="1:22" ht="14.25" customHeight="1" x14ac:dyDescent="0.25">
      <c r="A193" s="48" t="str">
        <f>LEFT(Tabelle1[[#This Row],[Artikel'#]],4)</f>
        <v>F035</v>
      </c>
      <c r="B193" s="46" t="str">
        <f>MID(Tabelle1[[#This Row],[Artikel'#]],5,3)</f>
        <v>139</v>
      </c>
      <c r="C193" s="48" t="str">
        <f>RIGHT(Tabelle1[[#This Row],[Artikel'#]],3)</f>
        <v>372</v>
      </c>
      <c r="D193" s="46">
        <f>IF(Tabelle1[[#This Row],[Winkel2]]=select!$A$2,1,0)</f>
        <v>0</v>
      </c>
      <c r="E1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3" s="46">
        <f>IF(select!$E$16=IF(Tabelle1[[#This Row],[mit Dämpfung]]=1,1,IF(Tabelle1[[#This Row],[ohne Dämpfung]]=1,2,IF(Tabelle1[[#This Row],[ohne Feder]]=1,3,0))),1,0)</f>
        <v>0</v>
      </c>
      <c r="G193" s="46">
        <f>IF(Tabelle1[[#This Row],[Links]]=select!$I$2,1,0)</f>
        <v>1</v>
      </c>
      <c r="H193" s="46">
        <f>IF(IF(Tabelle1[[#This Row],[Anschrauben]]=1,1,IF(Tabelle1[[#This Row],[Einpressen]]=1,2,IF(Tabelle1[[#This Row],[Werkzeuglos]]=1,3,0)))=select!$E$7,1,0)</f>
        <v>0</v>
      </c>
      <c r="I193" s="46">
        <f ca="1">IF(Tabelle1[[#This Row],[Winkel]]+Tabelle1[[#This Row],[Kröpfung]]+Tabelle1[[#This Row],[Däpfung]]+Tabelle1[[#This Row],[Bohrbild]]+Tabelle1[[#This Row],[Scharnierbefestigung]]=5,1,0)</f>
        <v>0</v>
      </c>
      <c r="J193" t="str">
        <f ca="1">Sprache!$A$58</f>
        <v>TIOMOS hinge TT-Impresso</v>
      </c>
      <c r="K193" t="s">
        <v>83</v>
      </c>
      <c r="L193" t="s">
        <v>73</v>
      </c>
      <c r="M193">
        <v>3</v>
      </c>
      <c r="N193" t="s">
        <v>3</v>
      </c>
      <c r="O193">
        <v>120</v>
      </c>
      <c r="P193">
        <v>0</v>
      </c>
      <c r="Q193">
        <v>0</v>
      </c>
      <c r="R193">
        <v>1</v>
      </c>
      <c r="S193">
        <v>0</v>
      </c>
      <c r="T193">
        <v>0</v>
      </c>
      <c r="U193">
        <v>1</v>
      </c>
      <c r="V193" s="14" t="s">
        <v>212</v>
      </c>
    </row>
    <row r="194" spans="1:22" ht="14.25" customHeight="1" x14ac:dyDescent="0.25">
      <c r="A194" s="48" t="str">
        <f>LEFT(Tabelle1[[#This Row],[Artikel'#]],4)</f>
        <v>F035</v>
      </c>
      <c r="B194" s="46" t="str">
        <f>MID(Tabelle1[[#This Row],[Artikel'#]],5,3)</f>
        <v>139</v>
      </c>
      <c r="C194" s="48" t="str">
        <f>RIGHT(Tabelle1[[#This Row],[Artikel'#]],3)</f>
        <v>373</v>
      </c>
      <c r="D194" s="46">
        <f>IF(Tabelle1[[#This Row],[Winkel2]]=select!$A$2,1,0)</f>
        <v>0</v>
      </c>
      <c r="E1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94" s="46">
        <f>IF(select!$E$16=IF(Tabelle1[[#This Row],[mit Dämpfung]]=1,1,IF(Tabelle1[[#This Row],[ohne Dämpfung]]=1,2,IF(Tabelle1[[#This Row],[ohne Feder]]=1,3,0))),1,0)</f>
        <v>0</v>
      </c>
      <c r="G194" s="46">
        <f>IF(Tabelle1[[#This Row],[Links]]=select!$I$2,1,0)</f>
        <v>0</v>
      </c>
      <c r="H194" s="46">
        <f>IF(IF(Tabelle1[[#This Row],[Anschrauben]]=1,1,IF(Tabelle1[[#This Row],[Einpressen]]=1,2,IF(Tabelle1[[#This Row],[Werkzeuglos]]=1,3,0)))=select!$E$7,1,0)</f>
        <v>0</v>
      </c>
      <c r="I194" s="46">
        <f ca="1">IF(Tabelle1[[#This Row],[Winkel]]+Tabelle1[[#This Row],[Kröpfung]]+Tabelle1[[#This Row],[Däpfung]]+Tabelle1[[#This Row],[Bohrbild]]+Tabelle1[[#This Row],[Scharnierbefestigung]]=5,1,0)</f>
        <v>0</v>
      </c>
      <c r="J194" t="str">
        <f ca="1">Sprache!$A$58</f>
        <v>TIOMOS hinge TT-Impresso</v>
      </c>
      <c r="K194" t="s">
        <v>85</v>
      </c>
      <c r="L194" t="s">
        <v>73</v>
      </c>
      <c r="M194">
        <v>9.5</v>
      </c>
      <c r="N194" t="s">
        <v>12</v>
      </c>
      <c r="O194">
        <v>120</v>
      </c>
      <c r="P194">
        <v>0</v>
      </c>
      <c r="Q194">
        <v>0</v>
      </c>
      <c r="R194">
        <v>1</v>
      </c>
      <c r="S194">
        <v>0</v>
      </c>
      <c r="T194">
        <v>0</v>
      </c>
      <c r="U194">
        <v>1</v>
      </c>
      <c r="V194" s="14" t="s">
        <v>213</v>
      </c>
    </row>
    <row r="195" spans="1:22" ht="14.25" customHeight="1" x14ac:dyDescent="0.25">
      <c r="A195" s="48" t="str">
        <f>LEFT(Tabelle1[[#This Row],[Artikel'#]],4)</f>
        <v>F035</v>
      </c>
      <c r="B195" s="46" t="str">
        <f>MID(Tabelle1[[#This Row],[Artikel'#]],5,3)</f>
        <v>139</v>
      </c>
      <c r="C195" s="48" t="str">
        <f>RIGHT(Tabelle1[[#This Row],[Artikel'#]],3)</f>
        <v>373</v>
      </c>
      <c r="D195" s="46">
        <f>IF(Tabelle1[[#This Row],[Winkel2]]=select!$A$2,1,0)</f>
        <v>0</v>
      </c>
      <c r="E1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195" s="46">
        <f>IF(select!$E$16=IF(Tabelle1[[#This Row],[mit Dämpfung]]=1,1,IF(Tabelle1[[#This Row],[ohne Dämpfung]]=1,2,IF(Tabelle1[[#This Row],[ohne Feder]]=1,3,0))),1,0)</f>
        <v>0</v>
      </c>
      <c r="G195" s="46">
        <f>IF(Tabelle1[[#This Row],[Links]]=select!$I$2,1,0)</f>
        <v>1</v>
      </c>
      <c r="H195" s="46">
        <f>IF(IF(Tabelle1[[#This Row],[Anschrauben]]=1,1,IF(Tabelle1[[#This Row],[Einpressen]]=1,2,IF(Tabelle1[[#This Row],[Werkzeuglos]]=1,3,0)))=select!$E$7,1,0)</f>
        <v>0</v>
      </c>
      <c r="I195" s="46">
        <f ca="1">IF(Tabelle1[[#This Row],[Winkel]]+Tabelle1[[#This Row],[Kröpfung]]+Tabelle1[[#This Row],[Däpfung]]+Tabelle1[[#This Row],[Bohrbild]]+Tabelle1[[#This Row],[Scharnierbefestigung]]=5,1,0)</f>
        <v>0</v>
      </c>
      <c r="J195" t="str">
        <f ca="1">Sprache!$A$58</f>
        <v>TIOMOS hinge TT-Impresso</v>
      </c>
      <c r="K195" t="s">
        <v>85</v>
      </c>
      <c r="L195" t="s">
        <v>73</v>
      </c>
      <c r="M195">
        <v>9.5</v>
      </c>
      <c r="N195" t="s">
        <v>3</v>
      </c>
      <c r="O195">
        <v>120</v>
      </c>
      <c r="P195">
        <v>0</v>
      </c>
      <c r="Q195">
        <v>0</v>
      </c>
      <c r="R195">
        <v>1</v>
      </c>
      <c r="S195">
        <v>0</v>
      </c>
      <c r="T195">
        <v>0</v>
      </c>
      <c r="U195">
        <v>1</v>
      </c>
      <c r="V195" s="14" t="s">
        <v>213</v>
      </c>
    </row>
    <row r="196" spans="1:22" ht="14.25" customHeight="1" x14ac:dyDescent="0.25">
      <c r="A196" s="48" t="str">
        <f>LEFT(Tabelle1[[#This Row],[Artikel'#]],4)</f>
        <v>F035</v>
      </c>
      <c r="B196" s="46" t="str">
        <f>MID(Tabelle1[[#This Row],[Artikel'#]],5,3)</f>
        <v>139</v>
      </c>
      <c r="C196" s="48" t="str">
        <f>RIGHT(Tabelle1[[#This Row],[Artikel'#]],3)</f>
        <v>374</v>
      </c>
      <c r="D196" s="46">
        <f>IF(Tabelle1[[#This Row],[Winkel2]]=select!$A$2,1,0)</f>
        <v>0</v>
      </c>
      <c r="E1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6" s="46">
        <f>IF(select!$E$16=IF(Tabelle1[[#This Row],[mit Dämpfung]]=1,1,IF(Tabelle1[[#This Row],[ohne Dämpfung]]=1,2,IF(Tabelle1[[#This Row],[ohne Feder]]=1,3,0))),1,0)</f>
        <v>0</v>
      </c>
      <c r="G196" s="46">
        <f>IF(Tabelle1[[#This Row],[Links]]=select!$I$2,1,0)</f>
        <v>0</v>
      </c>
      <c r="H196" s="46">
        <f>IF(IF(Tabelle1[[#This Row],[Anschrauben]]=1,1,IF(Tabelle1[[#This Row],[Einpressen]]=1,2,IF(Tabelle1[[#This Row],[Werkzeuglos]]=1,3,0)))=select!$E$7,1,0)</f>
        <v>0</v>
      </c>
      <c r="I196" s="46">
        <f ca="1">IF(Tabelle1[[#This Row],[Winkel]]+Tabelle1[[#This Row],[Kröpfung]]+Tabelle1[[#This Row],[Däpfung]]+Tabelle1[[#This Row],[Bohrbild]]+Tabelle1[[#This Row],[Scharnierbefestigung]]=5,1,0)</f>
        <v>0</v>
      </c>
      <c r="J196" t="str">
        <f ca="1">Sprache!$A$58</f>
        <v>TIOMOS hinge TT-Impresso</v>
      </c>
      <c r="K196" t="s">
        <v>87</v>
      </c>
      <c r="L196" t="s">
        <v>73</v>
      </c>
      <c r="M196">
        <v>19</v>
      </c>
      <c r="N196" t="s">
        <v>12</v>
      </c>
      <c r="O196">
        <v>120</v>
      </c>
      <c r="P196">
        <v>0</v>
      </c>
      <c r="Q196">
        <v>0</v>
      </c>
      <c r="R196">
        <v>1</v>
      </c>
      <c r="S196">
        <v>0</v>
      </c>
      <c r="T196">
        <v>0</v>
      </c>
      <c r="U196">
        <v>1</v>
      </c>
      <c r="V196" s="14" t="s">
        <v>214</v>
      </c>
    </row>
    <row r="197" spans="1:22" ht="14.25" customHeight="1" x14ac:dyDescent="0.25">
      <c r="A197" s="48" t="str">
        <f>LEFT(Tabelle1[[#This Row],[Artikel'#]],4)</f>
        <v>F035</v>
      </c>
      <c r="B197" s="46" t="str">
        <f>MID(Tabelle1[[#This Row],[Artikel'#]],5,3)</f>
        <v>139</v>
      </c>
      <c r="C197" s="48" t="str">
        <f>RIGHT(Tabelle1[[#This Row],[Artikel'#]],3)</f>
        <v>374</v>
      </c>
      <c r="D197" s="46">
        <f>IF(Tabelle1[[#This Row],[Winkel2]]=select!$A$2,1,0)</f>
        <v>0</v>
      </c>
      <c r="E1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7" s="46">
        <f>IF(select!$E$16=IF(Tabelle1[[#This Row],[mit Dämpfung]]=1,1,IF(Tabelle1[[#This Row],[ohne Dämpfung]]=1,2,IF(Tabelle1[[#This Row],[ohne Feder]]=1,3,0))),1,0)</f>
        <v>0</v>
      </c>
      <c r="G197" s="46">
        <f>IF(Tabelle1[[#This Row],[Links]]=select!$I$2,1,0)</f>
        <v>1</v>
      </c>
      <c r="H197" s="46">
        <f>IF(IF(Tabelle1[[#This Row],[Anschrauben]]=1,1,IF(Tabelle1[[#This Row],[Einpressen]]=1,2,IF(Tabelle1[[#This Row],[Werkzeuglos]]=1,3,0)))=select!$E$7,1,0)</f>
        <v>0</v>
      </c>
      <c r="I197" s="46">
        <f ca="1">IF(Tabelle1[[#This Row],[Winkel]]+Tabelle1[[#This Row],[Kröpfung]]+Tabelle1[[#This Row],[Däpfung]]+Tabelle1[[#This Row],[Bohrbild]]+Tabelle1[[#This Row],[Scharnierbefestigung]]=5,1,0)</f>
        <v>0</v>
      </c>
      <c r="J197" t="str">
        <f ca="1">Sprache!$A$58</f>
        <v>TIOMOS hinge TT-Impresso</v>
      </c>
      <c r="K197" t="s">
        <v>87</v>
      </c>
      <c r="L197" t="s">
        <v>73</v>
      </c>
      <c r="M197">
        <v>19</v>
      </c>
      <c r="N197" t="s">
        <v>3</v>
      </c>
      <c r="O197">
        <v>120</v>
      </c>
      <c r="P197">
        <v>0</v>
      </c>
      <c r="Q197">
        <v>0</v>
      </c>
      <c r="R197">
        <v>1</v>
      </c>
      <c r="S197">
        <v>0</v>
      </c>
      <c r="T197">
        <v>0</v>
      </c>
      <c r="U197">
        <v>1</v>
      </c>
      <c r="V197" s="14" t="s">
        <v>214</v>
      </c>
    </row>
    <row r="198" spans="1:22" ht="14.25" customHeight="1" x14ac:dyDescent="0.25">
      <c r="A198" s="48" t="str">
        <f>LEFT(Tabelle1[[#This Row],[Artikel'#]],4)</f>
        <v>F035</v>
      </c>
      <c r="B198" s="46" t="str">
        <f>MID(Tabelle1[[#This Row],[Artikel'#]],5,3)</f>
        <v>139</v>
      </c>
      <c r="C198" s="48" t="str">
        <f>RIGHT(Tabelle1[[#This Row],[Artikel'#]],3)</f>
        <v>378</v>
      </c>
      <c r="D198" s="46">
        <f>IF(Tabelle1[[#This Row],[Winkel2]]=select!$A$2,1,0)</f>
        <v>0</v>
      </c>
      <c r="E1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8" s="46">
        <f>IF(select!$E$16=IF(Tabelle1[[#This Row],[mit Dämpfung]]=1,1,IF(Tabelle1[[#This Row],[ohne Dämpfung]]=1,2,IF(Tabelle1[[#This Row],[ohne Feder]]=1,3,0))),1,0)</f>
        <v>0</v>
      </c>
      <c r="G198" s="46">
        <f>IF(Tabelle1[[#This Row],[Links]]=select!$I$2,1,0)</f>
        <v>0</v>
      </c>
      <c r="H198" s="46">
        <f>IF(IF(Tabelle1[[#This Row],[Anschrauben]]=1,1,IF(Tabelle1[[#This Row],[Einpressen]]=1,2,IF(Tabelle1[[#This Row],[Werkzeuglos]]=1,3,0)))=select!$E$7,1,0)</f>
        <v>0</v>
      </c>
      <c r="I198" s="46">
        <f ca="1">IF(Tabelle1[[#This Row],[Winkel]]+Tabelle1[[#This Row],[Kröpfung]]+Tabelle1[[#This Row],[Däpfung]]+Tabelle1[[#This Row],[Bohrbild]]+Tabelle1[[#This Row],[Scharnierbefestigung]]=5,1,0)</f>
        <v>0</v>
      </c>
      <c r="J198" t="str">
        <f ca="1">Sprache!$A$58</f>
        <v>TIOMOS hinge TT-Impresso</v>
      </c>
      <c r="K198" t="s">
        <v>89</v>
      </c>
      <c r="L198" t="s">
        <v>73</v>
      </c>
      <c r="M198">
        <v>0</v>
      </c>
      <c r="N198" s="13" t="s">
        <v>12</v>
      </c>
      <c r="O198">
        <v>160</v>
      </c>
      <c r="P198">
        <v>0</v>
      </c>
      <c r="Q198">
        <v>0</v>
      </c>
      <c r="R198">
        <v>1</v>
      </c>
      <c r="S198">
        <v>0</v>
      </c>
      <c r="T198">
        <v>0</v>
      </c>
      <c r="U198">
        <v>1</v>
      </c>
      <c r="V198" s="14" t="s">
        <v>215</v>
      </c>
    </row>
    <row r="199" spans="1:22" ht="14.25" customHeight="1" x14ac:dyDescent="0.25">
      <c r="A199" s="48" t="str">
        <f>LEFT(Tabelle1[[#This Row],[Artikel'#]],4)</f>
        <v>F035</v>
      </c>
      <c r="B199" s="46" t="str">
        <f>MID(Tabelle1[[#This Row],[Artikel'#]],5,3)</f>
        <v>139</v>
      </c>
      <c r="C199" s="48" t="str">
        <f>RIGHT(Tabelle1[[#This Row],[Artikel'#]],3)</f>
        <v>378</v>
      </c>
      <c r="D199" s="46">
        <f>IF(Tabelle1[[#This Row],[Winkel2]]=select!$A$2,1,0)</f>
        <v>0</v>
      </c>
      <c r="E1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199" s="46">
        <f>IF(select!$E$16=IF(Tabelle1[[#This Row],[mit Dämpfung]]=1,1,IF(Tabelle1[[#This Row],[ohne Dämpfung]]=1,2,IF(Tabelle1[[#This Row],[ohne Feder]]=1,3,0))),1,0)</f>
        <v>0</v>
      </c>
      <c r="G199" s="46">
        <f>IF(Tabelle1[[#This Row],[Links]]=select!$I$2,1,0)</f>
        <v>1</v>
      </c>
      <c r="H199" s="46">
        <f>IF(IF(Tabelle1[[#This Row],[Anschrauben]]=1,1,IF(Tabelle1[[#This Row],[Einpressen]]=1,2,IF(Tabelle1[[#This Row],[Werkzeuglos]]=1,3,0)))=select!$E$7,1,0)</f>
        <v>0</v>
      </c>
      <c r="I199" s="46">
        <f ca="1">IF(Tabelle1[[#This Row],[Winkel]]+Tabelle1[[#This Row],[Kröpfung]]+Tabelle1[[#This Row],[Däpfung]]+Tabelle1[[#This Row],[Bohrbild]]+Tabelle1[[#This Row],[Scharnierbefestigung]]=5,1,0)</f>
        <v>0</v>
      </c>
      <c r="J199" t="str">
        <f ca="1">Sprache!$A$58</f>
        <v>TIOMOS hinge TT-Impresso</v>
      </c>
      <c r="K199" t="s">
        <v>89</v>
      </c>
      <c r="L199" t="s">
        <v>73</v>
      </c>
      <c r="M199">
        <v>0</v>
      </c>
      <c r="N199" s="13" t="s">
        <v>3</v>
      </c>
      <c r="O199">
        <v>160</v>
      </c>
      <c r="P199">
        <v>0</v>
      </c>
      <c r="Q199">
        <v>0</v>
      </c>
      <c r="R199">
        <v>1</v>
      </c>
      <c r="S199">
        <v>0</v>
      </c>
      <c r="T199">
        <v>0</v>
      </c>
      <c r="U199">
        <v>1</v>
      </c>
      <c r="V199" s="14" t="s">
        <v>215</v>
      </c>
    </row>
    <row r="200" spans="1:22" ht="14.25" customHeight="1" x14ac:dyDescent="0.25">
      <c r="A200" s="48" t="str">
        <f>LEFT(Tabelle1[[#This Row],[Artikel'#]],4)</f>
        <v>F035</v>
      </c>
      <c r="B200" s="46" t="str">
        <f>MID(Tabelle1[[#This Row],[Artikel'#]],5,3)</f>
        <v>139</v>
      </c>
      <c r="C200" s="48" t="str">
        <f>RIGHT(Tabelle1[[#This Row],[Artikel'#]],3)</f>
        <v>379</v>
      </c>
      <c r="D200" s="46">
        <f>IF(Tabelle1[[#This Row],[Winkel2]]=select!$A$2,1,0)</f>
        <v>0</v>
      </c>
      <c r="E2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0" s="46">
        <f>IF(select!$E$16=IF(Tabelle1[[#This Row],[mit Dämpfung]]=1,1,IF(Tabelle1[[#This Row],[ohne Dämpfung]]=1,2,IF(Tabelle1[[#This Row],[ohne Feder]]=1,3,0))),1,0)</f>
        <v>0</v>
      </c>
      <c r="G200" s="46">
        <f>IF(Tabelle1[[#This Row],[Links]]=select!$I$2,1,0)</f>
        <v>0</v>
      </c>
      <c r="H200" s="46">
        <f>IF(IF(Tabelle1[[#This Row],[Anschrauben]]=1,1,IF(Tabelle1[[#This Row],[Einpressen]]=1,2,IF(Tabelle1[[#This Row],[Werkzeuglos]]=1,3,0)))=select!$E$7,1,0)</f>
        <v>0</v>
      </c>
      <c r="I200" s="46">
        <f ca="1">IF(Tabelle1[[#This Row],[Winkel]]+Tabelle1[[#This Row],[Kröpfung]]+Tabelle1[[#This Row],[Däpfung]]+Tabelle1[[#This Row],[Bohrbild]]+Tabelle1[[#This Row],[Scharnierbefestigung]]=5,1,0)</f>
        <v>0</v>
      </c>
      <c r="J200" t="str">
        <f ca="1">Sprache!$A$58</f>
        <v>TIOMOS hinge TT-Impresso</v>
      </c>
      <c r="K200" t="s">
        <v>91</v>
      </c>
      <c r="L200" t="s">
        <v>73</v>
      </c>
      <c r="M200">
        <v>3</v>
      </c>
      <c r="N200" t="s">
        <v>12</v>
      </c>
      <c r="O200">
        <v>160</v>
      </c>
      <c r="P200">
        <v>0</v>
      </c>
      <c r="Q200">
        <v>0</v>
      </c>
      <c r="R200">
        <v>1</v>
      </c>
      <c r="S200">
        <v>0</v>
      </c>
      <c r="T200">
        <v>0</v>
      </c>
      <c r="U200">
        <v>1</v>
      </c>
      <c r="V200" s="14" t="s">
        <v>216</v>
      </c>
    </row>
    <row r="201" spans="1:22" ht="14.25" customHeight="1" x14ac:dyDescent="0.25">
      <c r="A201" s="48" t="str">
        <f>LEFT(Tabelle1[[#This Row],[Artikel'#]],4)</f>
        <v>F035</v>
      </c>
      <c r="B201" s="46" t="str">
        <f>MID(Tabelle1[[#This Row],[Artikel'#]],5,3)</f>
        <v>139</v>
      </c>
      <c r="C201" s="48" t="str">
        <f>RIGHT(Tabelle1[[#This Row],[Artikel'#]],3)</f>
        <v>379</v>
      </c>
      <c r="D201" s="46">
        <f>IF(Tabelle1[[#This Row],[Winkel2]]=select!$A$2,1,0)</f>
        <v>0</v>
      </c>
      <c r="E2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1" s="46">
        <f>IF(select!$E$16=IF(Tabelle1[[#This Row],[mit Dämpfung]]=1,1,IF(Tabelle1[[#This Row],[ohne Dämpfung]]=1,2,IF(Tabelle1[[#This Row],[ohne Feder]]=1,3,0))),1,0)</f>
        <v>0</v>
      </c>
      <c r="G201" s="46">
        <f>IF(Tabelle1[[#This Row],[Links]]=select!$I$2,1,0)</f>
        <v>1</v>
      </c>
      <c r="H201" s="46">
        <f>IF(IF(Tabelle1[[#This Row],[Anschrauben]]=1,1,IF(Tabelle1[[#This Row],[Einpressen]]=1,2,IF(Tabelle1[[#This Row],[Werkzeuglos]]=1,3,0)))=select!$E$7,1,0)</f>
        <v>0</v>
      </c>
      <c r="I201" s="46">
        <f ca="1">IF(Tabelle1[[#This Row],[Winkel]]+Tabelle1[[#This Row],[Kröpfung]]+Tabelle1[[#This Row],[Däpfung]]+Tabelle1[[#This Row],[Bohrbild]]+Tabelle1[[#This Row],[Scharnierbefestigung]]=5,1,0)</f>
        <v>0</v>
      </c>
      <c r="J201" t="str">
        <f ca="1">Sprache!$A$58</f>
        <v>TIOMOS hinge TT-Impresso</v>
      </c>
      <c r="K201" t="s">
        <v>91</v>
      </c>
      <c r="L201" t="s">
        <v>73</v>
      </c>
      <c r="M201">
        <v>3</v>
      </c>
      <c r="N201" t="s">
        <v>3</v>
      </c>
      <c r="O201">
        <v>160</v>
      </c>
      <c r="P201">
        <v>0</v>
      </c>
      <c r="Q201">
        <v>0</v>
      </c>
      <c r="R201">
        <v>1</v>
      </c>
      <c r="S201">
        <v>0</v>
      </c>
      <c r="T201">
        <v>0</v>
      </c>
      <c r="U201">
        <v>1</v>
      </c>
      <c r="V201" s="14" t="s">
        <v>216</v>
      </c>
    </row>
    <row r="202" spans="1:22" ht="14.25" customHeight="1" x14ac:dyDescent="0.25">
      <c r="A202" s="48" t="str">
        <f>LEFT(Tabelle1[[#This Row],[Artikel'#]],4)</f>
        <v>F035</v>
      </c>
      <c r="B202" s="46" t="str">
        <f>MID(Tabelle1[[#This Row],[Artikel'#]],5,3)</f>
        <v>139</v>
      </c>
      <c r="C202" s="48" t="str">
        <f>RIGHT(Tabelle1[[#This Row],[Artikel'#]],3)</f>
        <v>380</v>
      </c>
      <c r="D202" s="46">
        <f>IF(Tabelle1[[#This Row],[Winkel2]]=select!$A$2,1,0)</f>
        <v>0</v>
      </c>
      <c r="E2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02" s="46">
        <f>IF(select!$E$16=IF(Tabelle1[[#This Row],[mit Dämpfung]]=1,1,IF(Tabelle1[[#This Row],[ohne Dämpfung]]=1,2,IF(Tabelle1[[#This Row],[ohne Feder]]=1,3,0))),1,0)</f>
        <v>0</v>
      </c>
      <c r="G202" s="46">
        <f>IF(Tabelle1[[#This Row],[Links]]=select!$I$2,1,0)</f>
        <v>0</v>
      </c>
      <c r="H202" s="46">
        <f>IF(IF(Tabelle1[[#This Row],[Anschrauben]]=1,1,IF(Tabelle1[[#This Row],[Einpressen]]=1,2,IF(Tabelle1[[#This Row],[Werkzeuglos]]=1,3,0)))=select!$E$7,1,0)</f>
        <v>0</v>
      </c>
      <c r="I202" s="46">
        <f ca="1">IF(Tabelle1[[#This Row],[Winkel]]+Tabelle1[[#This Row],[Kröpfung]]+Tabelle1[[#This Row],[Däpfung]]+Tabelle1[[#This Row],[Bohrbild]]+Tabelle1[[#This Row],[Scharnierbefestigung]]=5,1,0)</f>
        <v>0</v>
      </c>
      <c r="J202" t="str">
        <f ca="1">Sprache!$A$58</f>
        <v>TIOMOS hinge TT-Impresso</v>
      </c>
      <c r="K202" t="s">
        <v>93</v>
      </c>
      <c r="L202" t="s">
        <v>73</v>
      </c>
      <c r="M202">
        <v>9.5</v>
      </c>
      <c r="N202" t="s">
        <v>12</v>
      </c>
      <c r="O202">
        <v>160</v>
      </c>
      <c r="P202">
        <v>0</v>
      </c>
      <c r="Q202">
        <v>0</v>
      </c>
      <c r="R202">
        <v>1</v>
      </c>
      <c r="S202">
        <v>0</v>
      </c>
      <c r="T202">
        <v>0</v>
      </c>
      <c r="U202">
        <v>1</v>
      </c>
      <c r="V202" s="14" t="s">
        <v>217</v>
      </c>
    </row>
    <row r="203" spans="1:22" ht="14.25" customHeight="1" x14ac:dyDescent="0.25">
      <c r="A203" s="48" t="str">
        <f>LEFT(Tabelle1[[#This Row],[Artikel'#]],4)</f>
        <v>F035</v>
      </c>
      <c r="B203" s="46" t="str">
        <f>MID(Tabelle1[[#This Row],[Artikel'#]],5,3)</f>
        <v>139</v>
      </c>
      <c r="C203" s="48" t="str">
        <f>RIGHT(Tabelle1[[#This Row],[Artikel'#]],3)</f>
        <v>380</v>
      </c>
      <c r="D203" s="46">
        <f>IF(Tabelle1[[#This Row],[Winkel2]]=select!$A$2,1,0)</f>
        <v>0</v>
      </c>
      <c r="E2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03" s="46">
        <f>IF(select!$E$16=IF(Tabelle1[[#This Row],[mit Dämpfung]]=1,1,IF(Tabelle1[[#This Row],[ohne Dämpfung]]=1,2,IF(Tabelle1[[#This Row],[ohne Feder]]=1,3,0))),1,0)</f>
        <v>0</v>
      </c>
      <c r="G203" s="46">
        <f>IF(Tabelle1[[#This Row],[Links]]=select!$I$2,1,0)</f>
        <v>1</v>
      </c>
      <c r="H203" s="46">
        <f>IF(IF(Tabelle1[[#This Row],[Anschrauben]]=1,1,IF(Tabelle1[[#This Row],[Einpressen]]=1,2,IF(Tabelle1[[#This Row],[Werkzeuglos]]=1,3,0)))=select!$E$7,1,0)</f>
        <v>0</v>
      </c>
      <c r="I203" s="46">
        <f ca="1">IF(Tabelle1[[#This Row],[Winkel]]+Tabelle1[[#This Row],[Kröpfung]]+Tabelle1[[#This Row],[Däpfung]]+Tabelle1[[#This Row],[Bohrbild]]+Tabelle1[[#This Row],[Scharnierbefestigung]]=5,1,0)</f>
        <v>0</v>
      </c>
      <c r="J203" t="str">
        <f ca="1">Sprache!$A$58</f>
        <v>TIOMOS hinge TT-Impresso</v>
      </c>
      <c r="K203" t="s">
        <v>93</v>
      </c>
      <c r="L203" t="s">
        <v>73</v>
      </c>
      <c r="M203">
        <v>9.5</v>
      </c>
      <c r="N203" t="s">
        <v>3</v>
      </c>
      <c r="O203">
        <v>160</v>
      </c>
      <c r="P203">
        <v>0</v>
      </c>
      <c r="Q203">
        <v>0</v>
      </c>
      <c r="R203">
        <v>1</v>
      </c>
      <c r="S203">
        <v>0</v>
      </c>
      <c r="T203">
        <v>0</v>
      </c>
      <c r="U203">
        <v>1</v>
      </c>
      <c r="V203" s="14" t="s">
        <v>217</v>
      </c>
    </row>
    <row r="204" spans="1:22" ht="14.25" customHeight="1" x14ac:dyDescent="0.25">
      <c r="A204" s="48" t="str">
        <f>LEFT(Tabelle1[[#This Row],[Artikel'#]],4)</f>
        <v>F035</v>
      </c>
      <c r="B204" s="46" t="str">
        <f>MID(Tabelle1[[#This Row],[Artikel'#]],5,3)</f>
        <v>139</v>
      </c>
      <c r="C204" s="48" t="str">
        <f>RIGHT(Tabelle1[[#This Row],[Artikel'#]],3)</f>
        <v>381</v>
      </c>
      <c r="D204" s="46">
        <f>IF(Tabelle1[[#This Row],[Winkel2]]=select!$A$2,1,0)</f>
        <v>0</v>
      </c>
      <c r="E2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4" s="46">
        <f>IF(select!$E$16=IF(Tabelle1[[#This Row],[mit Dämpfung]]=1,1,IF(Tabelle1[[#This Row],[ohne Dämpfung]]=1,2,IF(Tabelle1[[#This Row],[ohne Feder]]=1,3,0))),1,0)</f>
        <v>0</v>
      </c>
      <c r="G204" s="46">
        <f>IF(Tabelle1[[#This Row],[Links]]=select!$I$2,1,0)</f>
        <v>0</v>
      </c>
      <c r="H204" s="46">
        <f>IF(IF(Tabelle1[[#This Row],[Anschrauben]]=1,1,IF(Tabelle1[[#This Row],[Einpressen]]=1,2,IF(Tabelle1[[#This Row],[Werkzeuglos]]=1,3,0)))=select!$E$7,1,0)</f>
        <v>0</v>
      </c>
      <c r="I204" s="46">
        <f ca="1">IF(Tabelle1[[#This Row],[Winkel]]+Tabelle1[[#This Row],[Kröpfung]]+Tabelle1[[#This Row],[Däpfung]]+Tabelle1[[#This Row],[Bohrbild]]+Tabelle1[[#This Row],[Scharnierbefestigung]]=5,1,0)</f>
        <v>0</v>
      </c>
      <c r="J204" t="str">
        <f ca="1">Sprache!$A$58</f>
        <v>TIOMOS hinge TT-Impresso</v>
      </c>
      <c r="K204" t="s">
        <v>95</v>
      </c>
      <c r="L204" t="s">
        <v>73</v>
      </c>
      <c r="M204">
        <v>0</v>
      </c>
      <c r="N204" t="s">
        <v>12</v>
      </c>
      <c r="O204">
        <v>95</v>
      </c>
      <c r="P204">
        <v>0</v>
      </c>
      <c r="Q204">
        <v>0</v>
      </c>
      <c r="R204">
        <v>1</v>
      </c>
      <c r="S204">
        <v>0</v>
      </c>
      <c r="T204">
        <v>0</v>
      </c>
      <c r="U204">
        <v>1</v>
      </c>
      <c r="V204" s="14" t="s">
        <v>218</v>
      </c>
    </row>
    <row r="205" spans="1:22" ht="14.25" customHeight="1" x14ac:dyDescent="0.25">
      <c r="A205" s="48" t="str">
        <f>LEFT(Tabelle1[[#This Row],[Artikel'#]],4)</f>
        <v>F035</v>
      </c>
      <c r="B205" s="46" t="str">
        <f>MID(Tabelle1[[#This Row],[Artikel'#]],5,3)</f>
        <v>139</v>
      </c>
      <c r="C205" s="48" t="str">
        <f>RIGHT(Tabelle1[[#This Row],[Artikel'#]],3)</f>
        <v>381</v>
      </c>
      <c r="D205" s="46">
        <f>IF(Tabelle1[[#This Row],[Winkel2]]=select!$A$2,1,0)</f>
        <v>0</v>
      </c>
      <c r="E2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5" s="46">
        <f>IF(select!$E$16=IF(Tabelle1[[#This Row],[mit Dämpfung]]=1,1,IF(Tabelle1[[#This Row],[ohne Dämpfung]]=1,2,IF(Tabelle1[[#This Row],[ohne Feder]]=1,3,0))),1,0)</f>
        <v>0</v>
      </c>
      <c r="G205" s="46">
        <f>IF(Tabelle1[[#This Row],[Links]]=select!$I$2,1,0)</f>
        <v>1</v>
      </c>
      <c r="H205" s="46">
        <f>IF(IF(Tabelle1[[#This Row],[Anschrauben]]=1,1,IF(Tabelle1[[#This Row],[Einpressen]]=1,2,IF(Tabelle1[[#This Row],[Werkzeuglos]]=1,3,0)))=select!$E$7,1,0)</f>
        <v>0</v>
      </c>
      <c r="I205" s="46">
        <f ca="1">IF(Tabelle1[[#This Row],[Winkel]]+Tabelle1[[#This Row],[Kröpfung]]+Tabelle1[[#This Row],[Däpfung]]+Tabelle1[[#This Row],[Bohrbild]]+Tabelle1[[#This Row],[Scharnierbefestigung]]=5,1,0)</f>
        <v>0</v>
      </c>
      <c r="J205" t="str">
        <f ca="1">Sprache!$A$58</f>
        <v>TIOMOS hinge TT-Impresso</v>
      </c>
      <c r="K205" t="s">
        <v>95</v>
      </c>
      <c r="L205" t="s">
        <v>73</v>
      </c>
      <c r="M205">
        <v>0</v>
      </c>
      <c r="N205" t="s">
        <v>3</v>
      </c>
      <c r="O205">
        <v>95</v>
      </c>
      <c r="P205">
        <v>0</v>
      </c>
      <c r="Q205">
        <v>0</v>
      </c>
      <c r="R205">
        <v>1</v>
      </c>
      <c r="S205">
        <v>0</v>
      </c>
      <c r="T205">
        <v>0</v>
      </c>
      <c r="U205">
        <v>1</v>
      </c>
      <c r="V205" s="14" t="s">
        <v>218</v>
      </c>
    </row>
    <row r="206" spans="1:22" ht="14.25" customHeight="1" x14ac:dyDescent="0.25">
      <c r="A206" s="48" t="str">
        <f>LEFT(Tabelle1[[#This Row],[Artikel'#]],4)</f>
        <v>F035</v>
      </c>
      <c r="B206" s="46" t="str">
        <f>MID(Tabelle1[[#This Row],[Artikel'#]],5,3)</f>
        <v>139</v>
      </c>
      <c r="C206" s="48" t="str">
        <f>RIGHT(Tabelle1[[#This Row],[Artikel'#]],3)</f>
        <v>382</v>
      </c>
      <c r="D206" s="46">
        <f>IF(Tabelle1[[#This Row],[Winkel2]]=select!$A$2,1,0)</f>
        <v>0</v>
      </c>
      <c r="E2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6" s="46">
        <f>IF(select!$E$16=IF(Tabelle1[[#This Row],[mit Dämpfung]]=1,1,IF(Tabelle1[[#This Row],[ohne Dämpfung]]=1,2,IF(Tabelle1[[#This Row],[ohne Feder]]=1,3,0))),1,0)</f>
        <v>0</v>
      </c>
      <c r="G206" s="46">
        <f>IF(Tabelle1[[#This Row],[Links]]=select!$I$2,1,0)</f>
        <v>0</v>
      </c>
      <c r="H206" s="46">
        <f>IF(IF(Tabelle1[[#This Row],[Anschrauben]]=1,1,IF(Tabelle1[[#This Row],[Einpressen]]=1,2,IF(Tabelle1[[#This Row],[Werkzeuglos]]=1,3,0)))=select!$E$7,1,0)</f>
        <v>0</v>
      </c>
      <c r="I206" s="46">
        <f ca="1">IF(Tabelle1[[#This Row],[Winkel]]+Tabelle1[[#This Row],[Kröpfung]]+Tabelle1[[#This Row],[Däpfung]]+Tabelle1[[#This Row],[Bohrbild]]+Tabelle1[[#This Row],[Scharnierbefestigung]]=5,1,0)</f>
        <v>0</v>
      </c>
      <c r="J206" t="str">
        <f ca="1">Sprache!$A$58</f>
        <v>TIOMOS hinge TT-Impresso</v>
      </c>
      <c r="K206" t="s">
        <v>97</v>
      </c>
      <c r="L206" t="s">
        <v>73</v>
      </c>
      <c r="M206">
        <v>3</v>
      </c>
      <c r="N206" t="s">
        <v>12</v>
      </c>
      <c r="O206">
        <v>95</v>
      </c>
      <c r="P206">
        <v>0</v>
      </c>
      <c r="Q206">
        <v>0</v>
      </c>
      <c r="R206">
        <v>1</v>
      </c>
      <c r="S206">
        <v>0</v>
      </c>
      <c r="T206">
        <v>0</v>
      </c>
      <c r="U206">
        <v>1</v>
      </c>
      <c r="V206" s="14" t="s">
        <v>219</v>
      </c>
    </row>
    <row r="207" spans="1:22" ht="14.25" customHeight="1" x14ac:dyDescent="0.25">
      <c r="A207" s="48" t="str">
        <f>LEFT(Tabelle1[[#This Row],[Artikel'#]],4)</f>
        <v>F035</v>
      </c>
      <c r="B207" s="46" t="str">
        <f>MID(Tabelle1[[#This Row],[Artikel'#]],5,3)</f>
        <v>139</v>
      </c>
      <c r="C207" s="48" t="str">
        <f>RIGHT(Tabelle1[[#This Row],[Artikel'#]],3)</f>
        <v>382</v>
      </c>
      <c r="D207" s="46">
        <f>IF(Tabelle1[[#This Row],[Winkel2]]=select!$A$2,1,0)</f>
        <v>0</v>
      </c>
      <c r="E2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07" s="46">
        <f>IF(select!$E$16=IF(Tabelle1[[#This Row],[mit Dämpfung]]=1,1,IF(Tabelle1[[#This Row],[ohne Dämpfung]]=1,2,IF(Tabelle1[[#This Row],[ohne Feder]]=1,3,0))),1,0)</f>
        <v>0</v>
      </c>
      <c r="G207" s="46">
        <f>IF(Tabelle1[[#This Row],[Links]]=select!$I$2,1,0)</f>
        <v>1</v>
      </c>
      <c r="H207" s="46">
        <f>IF(IF(Tabelle1[[#This Row],[Anschrauben]]=1,1,IF(Tabelle1[[#This Row],[Einpressen]]=1,2,IF(Tabelle1[[#This Row],[Werkzeuglos]]=1,3,0)))=select!$E$7,1,0)</f>
        <v>0</v>
      </c>
      <c r="I207" s="46">
        <f ca="1">IF(Tabelle1[[#This Row],[Winkel]]+Tabelle1[[#This Row],[Kröpfung]]+Tabelle1[[#This Row],[Däpfung]]+Tabelle1[[#This Row],[Bohrbild]]+Tabelle1[[#This Row],[Scharnierbefestigung]]=5,1,0)</f>
        <v>0</v>
      </c>
      <c r="J207" t="str">
        <f ca="1">Sprache!$A$58</f>
        <v>TIOMOS hinge TT-Impresso</v>
      </c>
      <c r="K207" t="s">
        <v>97</v>
      </c>
      <c r="L207" t="s">
        <v>73</v>
      </c>
      <c r="M207">
        <v>3</v>
      </c>
      <c r="N207" t="s">
        <v>3</v>
      </c>
      <c r="O207">
        <v>95</v>
      </c>
      <c r="P207">
        <v>0</v>
      </c>
      <c r="Q207">
        <v>0</v>
      </c>
      <c r="R207">
        <v>1</v>
      </c>
      <c r="S207">
        <v>0</v>
      </c>
      <c r="T207">
        <v>0</v>
      </c>
      <c r="U207">
        <v>1</v>
      </c>
      <c r="V207" s="14" t="s">
        <v>219</v>
      </c>
    </row>
    <row r="208" spans="1:22" ht="14.25" customHeight="1" x14ac:dyDescent="0.25">
      <c r="A208" s="48" t="str">
        <f>LEFT(Tabelle1[[#This Row],[Artikel'#]],4)</f>
        <v>F035</v>
      </c>
      <c r="B208" s="46" t="str">
        <f>MID(Tabelle1[[#This Row],[Artikel'#]],5,3)</f>
        <v>139</v>
      </c>
      <c r="C208" s="48" t="str">
        <f>RIGHT(Tabelle1[[#This Row],[Artikel'#]],3)</f>
        <v>383</v>
      </c>
      <c r="D208" s="46">
        <f>IF(Tabelle1[[#This Row],[Winkel2]]=select!$A$2,1,0)</f>
        <v>0</v>
      </c>
      <c r="E2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08" s="46">
        <f>IF(select!$E$16=IF(Tabelle1[[#This Row],[mit Dämpfung]]=1,1,IF(Tabelle1[[#This Row],[ohne Dämpfung]]=1,2,IF(Tabelle1[[#This Row],[ohne Feder]]=1,3,0))),1,0)</f>
        <v>0</v>
      </c>
      <c r="G208" s="46">
        <f>IF(Tabelle1[[#This Row],[Links]]=select!$I$2,1,0)</f>
        <v>0</v>
      </c>
      <c r="H208" s="46">
        <f>IF(IF(Tabelle1[[#This Row],[Anschrauben]]=1,1,IF(Tabelle1[[#This Row],[Einpressen]]=1,2,IF(Tabelle1[[#This Row],[Werkzeuglos]]=1,3,0)))=select!$E$7,1,0)</f>
        <v>0</v>
      </c>
      <c r="I208" s="46">
        <f ca="1">IF(Tabelle1[[#This Row],[Winkel]]+Tabelle1[[#This Row],[Kröpfung]]+Tabelle1[[#This Row],[Däpfung]]+Tabelle1[[#This Row],[Bohrbild]]+Tabelle1[[#This Row],[Scharnierbefestigung]]=5,1,0)</f>
        <v>0</v>
      </c>
      <c r="J208" t="str">
        <f ca="1">Sprache!$A$58</f>
        <v>TIOMOS hinge TT-Impresso</v>
      </c>
      <c r="K208" t="s">
        <v>99</v>
      </c>
      <c r="L208" t="s">
        <v>73</v>
      </c>
      <c r="M208">
        <v>9.5</v>
      </c>
      <c r="N208" t="s">
        <v>12</v>
      </c>
      <c r="O208">
        <v>95</v>
      </c>
      <c r="P208">
        <v>0</v>
      </c>
      <c r="Q208">
        <v>0</v>
      </c>
      <c r="R208">
        <v>1</v>
      </c>
      <c r="S208">
        <v>0</v>
      </c>
      <c r="T208">
        <v>0</v>
      </c>
      <c r="U208">
        <v>1</v>
      </c>
      <c r="V208" s="14" t="s">
        <v>220</v>
      </c>
    </row>
    <row r="209" spans="1:22" ht="14.25" customHeight="1" x14ac:dyDescent="0.25">
      <c r="A209" s="48" t="str">
        <f>LEFT(Tabelle1[[#This Row],[Artikel'#]],4)</f>
        <v>F035</v>
      </c>
      <c r="B209" s="46" t="str">
        <f>MID(Tabelle1[[#This Row],[Artikel'#]],5,3)</f>
        <v>139</v>
      </c>
      <c r="C209" s="48" t="str">
        <f>RIGHT(Tabelle1[[#This Row],[Artikel'#]],3)</f>
        <v>383</v>
      </c>
      <c r="D209" s="46">
        <f>IF(Tabelle1[[#This Row],[Winkel2]]=select!$A$2,1,0)</f>
        <v>0</v>
      </c>
      <c r="E2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09" s="46">
        <f>IF(select!$E$16=IF(Tabelle1[[#This Row],[mit Dämpfung]]=1,1,IF(Tabelle1[[#This Row],[ohne Dämpfung]]=1,2,IF(Tabelle1[[#This Row],[ohne Feder]]=1,3,0))),1,0)</f>
        <v>0</v>
      </c>
      <c r="G209" s="46">
        <f>IF(Tabelle1[[#This Row],[Links]]=select!$I$2,1,0)</f>
        <v>1</v>
      </c>
      <c r="H209" s="46">
        <f>IF(IF(Tabelle1[[#This Row],[Anschrauben]]=1,1,IF(Tabelle1[[#This Row],[Einpressen]]=1,2,IF(Tabelle1[[#This Row],[Werkzeuglos]]=1,3,0)))=select!$E$7,1,0)</f>
        <v>0</v>
      </c>
      <c r="I209" s="46">
        <f ca="1">IF(Tabelle1[[#This Row],[Winkel]]+Tabelle1[[#This Row],[Kröpfung]]+Tabelle1[[#This Row],[Däpfung]]+Tabelle1[[#This Row],[Bohrbild]]+Tabelle1[[#This Row],[Scharnierbefestigung]]=5,1,0)</f>
        <v>0</v>
      </c>
      <c r="J209" t="str">
        <f ca="1">Sprache!$A$58</f>
        <v>TIOMOS hinge TT-Impresso</v>
      </c>
      <c r="K209" t="s">
        <v>99</v>
      </c>
      <c r="L209" t="s">
        <v>73</v>
      </c>
      <c r="M209">
        <v>9.5</v>
      </c>
      <c r="N209" t="s">
        <v>3</v>
      </c>
      <c r="O209">
        <v>95</v>
      </c>
      <c r="P209">
        <v>0</v>
      </c>
      <c r="Q209">
        <v>0</v>
      </c>
      <c r="R209">
        <v>1</v>
      </c>
      <c r="S209">
        <v>0</v>
      </c>
      <c r="T209">
        <v>0</v>
      </c>
      <c r="U209">
        <v>1</v>
      </c>
      <c r="V209" s="14" t="s">
        <v>220</v>
      </c>
    </row>
    <row r="210" spans="1:22" ht="14.25" customHeight="1" x14ac:dyDescent="0.25">
      <c r="A210" s="48" t="str">
        <f>LEFT(Tabelle1[[#This Row],[Artikel'#]],4)</f>
        <v>F035</v>
      </c>
      <c r="B210" s="46" t="str">
        <f>MID(Tabelle1[[#This Row],[Artikel'#]],5,3)</f>
        <v>139</v>
      </c>
      <c r="C210" s="48" t="str">
        <f>RIGHT(Tabelle1[[#This Row],[Artikel'#]],3)</f>
        <v>384</v>
      </c>
      <c r="D210" s="46">
        <f>IF(Tabelle1[[#This Row],[Winkel2]]=select!$A$2,1,0)</f>
        <v>0</v>
      </c>
      <c r="E2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0" s="46">
        <f>IF(select!$E$16=IF(Tabelle1[[#This Row],[mit Dämpfung]]=1,1,IF(Tabelle1[[#This Row],[ohne Dämpfung]]=1,2,IF(Tabelle1[[#This Row],[ohne Feder]]=1,3,0))),1,0)</f>
        <v>0</v>
      </c>
      <c r="G210" s="46">
        <f>IF(Tabelle1[[#This Row],[Links]]=select!$I$2,1,0)</f>
        <v>0</v>
      </c>
      <c r="H210" s="46">
        <f>IF(IF(Tabelle1[[#This Row],[Anschrauben]]=1,1,IF(Tabelle1[[#This Row],[Einpressen]]=1,2,IF(Tabelle1[[#This Row],[Werkzeuglos]]=1,3,0)))=select!$E$7,1,0)</f>
        <v>0</v>
      </c>
      <c r="I210" s="46">
        <f ca="1">IF(Tabelle1[[#This Row],[Winkel]]+Tabelle1[[#This Row],[Kröpfung]]+Tabelle1[[#This Row],[Däpfung]]+Tabelle1[[#This Row],[Bohrbild]]+Tabelle1[[#This Row],[Scharnierbefestigung]]=5,1,0)</f>
        <v>0</v>
      </c>
      <c r="J210" t="str">
        <f ca="1">Sprache!$A$58</f>
        <v>TIOMOS hinge TT-Impresso</v>
      </c>
      <c r="K210" t="s">
        <v>101</v>
      </c>
      <c r="L210" t="s">
        <v>73</v>
      </c>
      <c r="M210">
        <v>19</v>
      </c>
      <c r="N210" t="s">
        <v>12</v>
      </c>
      <c r="O210">
        <v>95</v>
      </c>
      <c r="P210">
        <v>0</v>
      </c>
      <c r="Q210">
        <v>0</v>
      </c>
      <c r="R210">
        <v>1</v>
      </c>
      <c r="S210">
        <v>0</v>
      </c>
      <c r="T210">
        <v>0</v>
      </c>
      <c r="U210">
        <v>1</v>
      </c>
      <c r="V210" s="14" t="s">
        <v>221</v>
      </c>
    </row>
    <row r="211" spans="1:22" ht="14.25" customHeight="1" x14ac:dyDescent="0.25">
      <c r="A211" s="48" t="str">
        <f>LEFT(Tabelle1[[#This Row],[Artikel'#]],4)</f>
        <v>F035</v>
      </c>
      <c r="B211" s="46" t="str">
        <f>MID(Tabelle1[[#This Row],[Artikel'#]],5,3)</f>
        <v>139</v>
      </c>
      <c r="C211" s="48" t="str">
        <f>RIGHT(Tabelle1[[#This Row],[Artikel'#]],3)</f>
        <v>384</v>
      </c>
      <c r="D211" s="46">
        <f>IF(Tabelle1[[#This Row],[Winkel2]]=select!$A$2,1,0)</f>
        <v>0</v>
      </c>
      <c r="E2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1" s="46">
        <f>IF(select!$E$16=IF(Tabelle1[[#This Row],[mit Dämpfung]]=1,1,IF(Tabelle1[[#This Row],[ohne Dämpfung]]=1,2,IF(Tabelle1[[#This Row],[ohne Feder]]=1,3,0))),1,0)</f>
        <v>0</v>
      </c>
      <c r="G211" s="46">
        <f>IF(Tabelle1[[#This Row],[Links]]=select!$I$2,1,0)</f>
        <v>1</v>
      </c>
      <c r="H211" s="46">
        <f>IF(IF(Tabelle1[[#This Row],[Anschrauben]]=1,1,IF(Tabelle1[[#This Row],[Einpressen]]=1,2,IF(Tabelle1[[#This Row],[Werkzeuglos]]=1,3,0)))=select!$E$7,1,0)</f>
        <v>0</v>
      </c>
      <c r="I211" s="46">
        <f ca="1">IF(Tabelle1[[#This Row],[Winkel]]+Tabelle1[[#This Row],[Kröpfung]]+Tabelle1[[#This Row],[Däpfung]]+Tabelle1[[#This Row],[Bohrbild]]+Tabelle1[[#This Row],[Scharnierbefestigung]]=5,1,0)</f>
        <v>0</v>
      </c>
      <c r="J211" t="str">
        <f ca="1">Sprache!$A$58</f>
        <v>TIOMOS hinge TT-Impresso</v>
      </c>
      <c r="K211" t="s">
        <v>101</v>
      </c>
      <c r="L211" t="s">
        <v>73</v>
      </c>
      <c r="M211">
        <v>19</v>
      </c>
      <c r="N211" t="s">
        <v>3</v>
      </c>
      <c r="O211">
        <v>95</v>
      </c>
      <c r="P211">
        <v>0</v>
      </c>
      <c r="Q211">
        <v>0</v>
      </c>
      <c r="R211">
        <v>1</v>
      </c>
      <c r="S211">
        <v>0</v>
      </c>
      <c r="T211">
        <v>0</v>
      </c>
      <c r="U211">
        <v>1</v>
      </c>
      <c r="V211" s="14" t="s">
        <v>221</v>
      </c>
    </row>
    <row r="212" spans="1:22" ht="14.25" customHeight="1" x14ac:dyDescent="0.25">
      <c r="A212" s="48" t="str">
        <f>LEFT(Tabelle1[[#This Row],[Artikel'#]],4)</f>
        <v>F035</v>
      </c>
      <c r="B212" s="46" t="str">
        <f>MID(Tabelle1[[#This Row],[Artikel'#]],5,3)</f>
        <v>139</v>
      </c>
      <c r="C212" s="48" t="str">
        <f>RIGHT(Tabelle1[[#This Row],[Artikel'#]],3)</f>
        <v>442</v>
      </c>
      <c r="D212" s="46">
        <f>IF(Tabelle1[[#This Row],[Winkel2]]=select!$A$2,1,0)</f>
        <v>1</v>
      </c>
      <c r="E2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2" s="46">
        <f>IF(select!$E$16=IF(Tabelle1[[#This Row],[mit Dämpfung]]=1,1,IF(Tabelle1[[#This Row],[ohne Dämpfung]]=1,2,IF(Tabelle1[[#This Row],[ohne Feder]]=1,3,0))),1,0)</f>
        <v>0</v>
      </c>
      <c r="G212" s="46">
        <f>IF(Tabelle1[[#This Row],[Links]]=select!$I$2,1,0)</f>
        <v>0</v>
      </c>
      <c r="H212" s="46">
        <f>IF(IF(Tabelle1[[#This Row],[Anschrauben]]=1,1,IF(Tabelle1[[#This Row],[Einpressen]]=1,2,IF(Tabelle1[[#This Row],[Werkzeuglos]]=1,3,0)))=select!$E$7,1,0)</f>
        <v>0</v>
      </c>
      <c r="I212" s="46">
        <f ca="1">IF(Tabelle1[[#This Row],[Winkel]]+Tabelle1[[#This Row],[Kröpfung]]+Tabelle1[[#This Row],[Däpfung]]+Tabelle1[[#This Row],[Bohrbild]]+Tabelle1[[#This Row],[Scharnierbefestigung]]=5,1,0)</f>
        <v>0</v>
      </c>
      <c r="J212" t="str">
        <f ca="1">Sprache!$A$58</f>
        <v>TIOMOS hinge TT-Impresso</v>
      </c>
      <c r="K212" t="s">
        <v>103</v>
      </c>
      <c r="L212" t="s">
        <v>73</v>
      </c>
      <c r="M212">
        <v>0</v>
      </c>
      <c r="N212" t="s">
        <v>13</v>
      </c>
      <c r="O212">
        <v>110</v>
      </c>
      <c r="P212">
        <v>0</v>
      </c>
      <c r="Q212">
        <v>0</v>
      </c>
      <c r="R212">
        <v>1</v>
      </c>
      <c r="S212">
        <v>0</v>
      </c>
      <c r="T212">
        <v>0</v>
      </c>
      <c r="U212">
        <v>1</v>
      </c>
      <c r="V212" s="14" t="s">
        <v>222</v>
      </c>
    </row>
    <row r="213" spans="1:22" ht="14.25" customHeight="1" x14ac:dyDescent="0.25">
      <c r="A213" s="48" t="str">
        <f>LEFT(Tabelle1[[#This Row],[Artikel'#]],4)</f>
        <v>F035</v>
      </c>
      <c r="B213" s="46" t="str">
        <f>MID(Tabelle1[[#This Row],[Artikel'#]],5,3)</f>
        <v>139</v>
      </c>
      <c r="C213" s="48" t="str">
        <f>RIGHT(Tabelle1[[#This Row],[Artikel'#]],3)</f>
        <v>442</v>
      </c>
      <c r="D213" s="46">
        <f>IF(Tabelle1[[#This Row],[Winkel2]]=select!$A$2,1,0)</f>
        <v>1</v>
      </c>
      <c r="E2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3" s="46">
        <f>IF(select!$E$16=IF(Tabelle1[[#This Row],[mit Dämpfung]]=1,1,IF(Tabelle1[[#This Row],[ohne Dämpfung]]=1,2,IF(Tabelle1[[#This Row],[ohne Feder]]=1,3,0))),1,0)</f>
        <v>0</v>
      </c>
      <c r="G213" s="46">
        <f>IF(Tabelle1[[#This Row],[Links]]=select!$I$2,1,0)</f>
        <v>1</v>
      </c>
      <c r="H213" s="46">
        <f>IF(IF(Tabelle1[[#This Row],[Anschrauben]]=1,1,IF(Tabelle1[[#This Row],[Einpressen]]=1,2,IF(Tabelle1[[#This Row],[Werkzeuglos]]=1,3,0)))=select!$E$7,1,0)</f>
        <v>0</v>
      </c>
      <c r="I213" s="46">
        <f ca="1">IF(Tabelle1[[#This Row],[Winkel]]+Tabelle1[[#This Row],[Kröpfung]]+Tabelle1[[#This Row],[Däpfung]]+Tabelle1[[#This Row],[Bohrbild]]+Tabelle1[[#This Row],[Scharnierbefestigung]]=5,1,0)</f>
        <v>0</v>
      </c>
      <c r="J213" t="str">
        <f ca="1">Sprache!$A$58</f>
        <v>TIOMOS hinge TT-Impresso</v>
      </c>
      <c r="K213" t="s">
        <v>103</v>
      </c>
      <c r="L213" t="s">
        <v>73</v>
      </c>
      <c r="M213">
        <v>0</v>
      </c>
      <c r="N213" t="s">
        <v>3</v>
      </c>
      <c r="O213">
        <v>110</v>
      </c>
      <c r="P213">
        <v>0</v>
      </c>
      <c r="Q213">
        <v>0</v>
      </c>
      <c r="R213">
        <v>1</v>
      </c>
      <c r="S213">
        <v>0</v>
      </c>
      <c r="T213">
        <v>0</v>
      </c>
      <c r="U213">
        <v>1</v>
      </c>
      <c r="V213" s="14" t="s">
        <v>222</v>
      </c>
    </row>
    <row r="214" spans="1:22" ht="14.25" customHeight="1" x14ac:dyDescent="0.25">
      <c r="A214" s="48" t="str">
        <f>LEFT(Tabelle1[[#This Row],[Artikel'#]],4)</f>
        <v>F035</v>
      </c>
      <c r="B214" s="46" t="str">
        <f>MID(Tabelle1[[#This Row],[Artikel'#]],5,3)</f>
        <v>139</v>
      </c>
      <c r="C214" s="48" t="str">
        <f>RIGHT(Tabelle1[[#This Row],[Artikel'#]],3)</f>
        <v>443</v>
      </c>
      <c r="D214" s="46">
        <f>IF(Tabelle1[[#This Row],[Winkel2]]=select!$A$2,1,0)</f>
        <v>1</v>
      </c>
      <c r="E2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4" s="46">
        <f>IF(select!$E$16=IF(Tabelle1[[#This Row],[mit Dämpfung]]=1,1,IF(Tabelle1[[#This Row],[ohne Dämpfung]]=1,2,IF(Tabelle1[[#This Row],[ohne Feder]]=1,3,0))),1,0)</f>
        <v>0</v>
      </c>
      <c r="G214" s="46">
        <f>IF(Tabelle1[[#This Row],[Links]]=select!$I$2,1,0)</f>
        <v>0</v>
      </c>
      <c r="H214" s="46">
        <f>IF(IF(Tabelle1[[#This Row],[Anschrauben]]=1,1,IF(Tabelle1[[#This Row],[Einpressen]]=1,2,IF(Tabelle1[[#This Row],[Werkzeuglos]]=1,3,0)))=select!$E$7,1,0)</f>
        <v>0</v>
      </c>
      <c r="I214" s="46">
        <f ca="1">IF(Tabelle1[[#This Row],[Winkel]]+Tabelle1[[#This Row],[Kröpfung]]+Tabelle1[[#This Row],[Däpfung]]+Tabelle1[[#This Row],[Bohrbild]]+Tabelle1[[#This Row],[Scharnierbefestigung]]=5,1,0)</f>
        <v>0</v>
      </c>
      <c r="J214" t="str">
        <f ca="1">Sprache!$A$58</f>
        <v>TIOMOS hinge TT-Impresso</v>
      </c>
      <c r="K214" t="s">
        <v>105</v>
      </c>
      <c r="L214" t="s">
        <v>73</v>
      </c>
      <c r="M214">
        <v>3</v>
      </c>
      <c r="N214" t="s">
        <v>13</v>
      </c>
      <c r="O214">
        <v>110</v>
      </c>
      <c r="P214">
        <v>0</v>
      </c>
      <c r="Q214">
        <v>0</v>
      </c>
      <c r="R214">
        <v>1</v>
      </c>
      <c r="S214">
        <v>0</v>
      </c>
      <c r="T214">
        <v>0</v>
      </c>
      <c r="U214">
        <v>1</v>
      </c>
      <c r="V214" s="14" t="s">
        <v>223</v>
      </c>
    </row>
    <row r="215" spans="1:22" ht="14.25" customHeight="1" x14ac:dyDescent="0.25">
      <c r="A215" s="48" t="str">
        <f>LEFT(Tabelle1[[#This Row],[Artikel'#]],4)</f>
        <v>F035</v>
      </c>
      <c r="B215" s="46" t="str">
        <f>MID(Tabelle1[[#This Row],[Artikel'#]],5,3)</f>
        <v>139</v>
      </c>
      <c r="C215" s="48" t="str">
        <f>RIGHT(Tabelle1[[#This Row],[Artikel'#]],3)</f>
        <v>443</v>
      </c>
      <c r="D215" s="46">
        <f>IF(Tabelle1[[#This Row],[Winkel2]]=select!$A$2,1,0)</f>
        <v>1</v>
      </c>
      <c r="E2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5" s="46">
        <f>IF(select!$E$16=IF(Tabelle1[[#This Row],[mit Dämpfung]]=1,1,IF(Tabelle1[[#This Row],[ohne Dämpfung]]=1,2,IF(Tabelle1[[#This Row],[ohne Feder]]=1,3,0))),1,0)</f>
        <v>0</v>
      </c>
      <c r="G215" s="46">
        <f>IF(Tabelle1[[#This Row],[Links]]=select!$I$2,1,0)</f>
        <v>1</v>
      </c>
      <c r="H215" s="46">
        <f>IF(IF(Tabelle1[[#This Row],[Anschrauben]]=1,1,IF(Tabelle1[[#This Row],[Einpressen]]=1,2,IF(Tabelle1[[#This Row],[Werkzeuglos]]=1,3,0)))=select!$E$7,1,0)</f>
        <v>0</v>
      </c>
      <c r="I215" s="46">
        <f ca="1">IF(Tabelle1[[#This Row],[Winkel]]+Tabelle1[[#This Row],[Kröpfung]]+Tabelle1[[#This Row],[Däpfung]]+Tabelle1[[#This Row],[Bohrbild]]+Tabelle1[[#This Row],[Scharnierbefestigung]]=5,1,0)</f>
        <v>0</v>
      </c>
      <c r="J215" t="str">
        <f ca="1">Sprache!$A$58</f>
        <v>TIOMOS hinge TT-Impresso</v>
      </c>
      <c r="K215" t="s">
        <v>105</v>
      </c>
      <c r="L215" t="s">
        <v>73</v>
      </c>
      <c r="M215">
        <v>3</v>
      </c>
      <c r="N215" t="s">
        <v>3</v>
      </c>
      <c r="O215">
        <v>110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1</v>
      </c>
      <c r="V215" s="14" t="s">
        <v>223</v>
      </c>
    </row>
    <row r="216" spans="1:22" ht="14.25" customHeight="1" x14ac:dyDescent="0.25">
      <c r="A216" s="48" t="str">
        <f>LEFT(Tabelle1[[#This Row],[Artikel'#]],4)</f>
        <v>F035</v>
      </c>
      <c r="B216" s="46" t="str">
        <f>MID(Tabelle1[[#This Row],[Artikel'#]],5,3)</f>
        <v>139</v>
      </c>
      <c r="C216" s="48" t="str">
        <f>RIGHT(Tabelle1[[#This Row],[Artikel'#]],3)</f>
        <v>444</v>
      </c>
      <c r="D216" s="46">
        <f>IF(Tabelle1[[#This Row],[Winkel2]]=select!$A$2,1,0)</f>
        <v>1</v>
      </c>
      <c r="E2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16" s="46">
        <f>IF(select!$E$16=IF(Tabelle1[[#This Row],[mit Dämpfung]]=1,1,IF(Tabelle1[[#This Row],[ohne Dämpfung]]=1,2,IF(Tabelle1[[#This Row],[ohne Feder]]=1,3,0))),1,0)</f>
        <v>0</v>
      </c>
      <c r="G216" s="46">
        <f>IF(Tabelle1[[#This Row],[Links]]=select!$I$2,1,0)</f>
        <v>0</v>
      </c>
      <c r="H216" s="46">
        <f>IF(IF(Tabelle1[[#This Row],[Anschrauben]]=1,1,IF(Tabelle1[[#This Row],[Einpressen]]=1,2,IF(Tabelle1[[#This Row],[Werkzeuglos]]=1,3,0)))=select!$E$7,1,0)</f>
        <v>0</v>
      </c>
      <c r="I216" s="46">
        <f ca="1">IF(Tabelle1[[#This Row],[Winkel]]+Tabelle1[[#This Row],[Kröpfung]]+Tabelle1[[#This Row],[Däpfung]]+Tabelle1[[#This Row],[Bohrbild]]+Tabelle1[[#This Row],[Scharnierbefestigung]]=5,1,0)</f>
        <v>0</v>
      </c>
      <c r="J216" t="str">
        <f ca="1">Sprache!$A$58</f>
        <v>TIOMOS hinge TT-Impresso</v>
      </c>
      <c r="K216" t="s">
        <v>107</v>
      </c>
      <c r="L216" t="s">
        <v>73</v>
      </c>
      <c r="M216">
        <v>9.5</v>
      </c>
      <c r="N216" t="s">
        <v>13</v>
      </c>
      <c r="O216">
        <v>110</v>
      </c>
      <c r="P216">
        <v>0</v>
      </c>
      <c r="Q216">
        <v>0</v>
      </c>
      <c r="R216">
        <v>1</v>
      </c>
      <c r="S216">
        <v>0</v>
      </c>
      <c r="T216">
        <v>0</v>
      </c>
      <c r="U216">
        <v>1</v>
      </c>
      <c r="V216" s="14" t="s">
        <v>224</v>
      </c>
    </row>
    <row r="217" spans="1:22" ht="14.25" customHeight="1" x14ac:dyDescent="0.25">
      <c r="A217" s="48" t="str">
        <f>LEFT(Tabelle1[[#This Row],[Artikel'#]],4)</f>
        <v>F035</v>
      </c>
      <c r="B217" s="46" t="str">
        <f>MID(Tabelle1[[#This Row],[Artikel'#]],5,3)</f>
        <v>139</v>
      </c>
      <c r="C217" s="48" t="str">
        <f>RIGHT(Tabelle1[[#This Row],[Artikel'#]],3)</f>
        <v>444</v>
      </c>
      <c r="D217" s="46">
        <f>IF(Tabelle1[[#This Row],[Winkel2]]=select!$A$2,1,0)</f>
        <v>1</v>
      </c>
      <c r="E2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17" s="46">
        <f>IF(select!$E$16=IF(Tabelle1[[#This Row],[mit Dämpfung]]=1,1,IF(Tabelle1[[#This Row],[ohne Dämpfung]]=1,2,IF(Tabelle1[[#This Row],[ohne Feder]]=1,3,0))),1,0)</f>
        <v>0</v>
      </c>
      <c r="G217" s="46">
        <f>IF(Tabelle1[[#This Row],[Links]]=select!$I$2,1,0)</f>
        <v>1</v>
      </c>
      <c r="H217" s="46">
        <f>IF(IF(Tabelle1[[#This Row],[Anschrauben]]=1,1,IF(Tabelle1[[#This Row],[Einpressen]]=1,2,IF(Tabelle1[[#This Row],[Werkzeuglos]]=1,3,0)))=select!$E$7,1,0)</f>
        <v>0</v>
      </c>
      <c r="I217" s="46">
        <f ca="1">IF(Tabelle1[[#This Row],[Winkel]]+Tabelle1[[#This Row],[Kröpfung]]+Tabelle1[[#This Row],[Däpfung]]+Tabelle1[[#This Row],[Bohrbild]]+Tabelle1[[#This Row],[Scharnierbefestigung]]=5,1,0)</f>
        <v>0</v>
      </c>
      <c r="J217" t="str">
        <f ca="1">Sprache!$A$58</f>
        <v>TIOMOS hinge TT-Impresso</v>
      </c>
      <c r="K217" t="s">
        <v>107</v>
      </c>
      <c r="L217" t="s">
        <v>73</v>
      </c>
      <c r="M217">
        <v>9.5</v>
      </c>
      <c r="N217" t="s">
        <v>3</v>
      </c>
      <c r="O217">
        <v>110</v>
      </c>
      <c r="P217">
        <v>0</v>
      </c>
      <c r="Q217">
        <v>0</v>
      </c>
      <c r="R217">
        <v>1</v>
      </c>
      <c r="S217">
        <v>0</v>
      </c>
      <c r="T217">
        <v>0</v>
      </c>
      <c r="U217">
        <v>1</v>
      </c>
      <c r="V217" s="14" t="s">
        <v>224</v>
      </c>
    </row>
    <row r="218" spans="1:22" ht="14.25" customHeight="1" x14ac:dyDescent="0.25">
      <c r="A218" s="48" t="str">
        <f>LEFT(Tabelle1[[#This Row],[Artikel'#]],4)</f>
        <v>F035</v>
      </c>
      <c r="B218" s="46" t="str">
        <f>MID(Tabelle1[[#This Row],[Artikel'#]],5,3)</f>
        <v>139</v>
      </c>
      <c r="C218" s="48" t="str">
        <f>RIGHT(Tabelle1[[#This Row],[Artikel'#]],3)</f>
        <v>445</v>
      </c>
      <c r="D218" s="46">
        <f>IF(Tabelle1[[#This Row],[Winkel2]]=select!$A$2,1,0)</f>
        <v>1</v>
      </c>
      <c r="E2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8" s="46">
        <f>IF(select!$E$16=IF(Tabelle1[[#This Row],[mit Dämpfung]]=1,1,IF(Tabelle1[[#This Row],[ohne Dämpfung]]=1,2,IF(Tabelle1[[#This Row],[ohne Feder]]=1,3,0))),1,0)</f>
        <v>0</v>
      </c>
      <c r="G218" s="46">
        <f>IF(Tabelle1[[#This Row],[Links]]=select!$I$2,1,0)</f>
        <v>0</v>
      </c>
      <c r="H218" s="46">
        <f>IF(IF(Tabelle1[[#This Row],[Anschrauben]]=1,1,IF(Tabelle1[[#This Row],[Einpressen]]=1,2,IF(Tabelle1[[#This Row],[Werkzeuglos]]=1,3,0)))=select!$E$7,1,0)</f>
        <v>0</v>
      </c>
      <c r="I218" s="46">
        <f ca="1">IF(Tabelle1[[#This Row],[Winkel]]+Tabelle1[[#This Row],[Kröpfung]]+Tabelle1[[#This Row],[Däpfung]]+Tabelle1[[#This Row],[Bohrbild]]+Tabelle1[[#This Row],[Scharnierbefestigung]]=5,1,0)</f>
        <v>0</v>
      </c>
      <c r="J218" t="str">
        <f ca="1">Sprache!$A$58</f>
        <v>TIOMOS hinge TT-Impresso</v>
      </c>
      <c r="K218" t="s">
        <v>109</v>
      </c>
      <c r="L218" t="s">
        <v>73</v>
      </c>
      <c r="M218">
        <v>19</v>
      </c>
      <c r="N218" t="s">
        <v>13</v>
      </c>
      <c r="O218">
        <v>110</v>
      </c>
      <c r="P218">
        <v>0</v>
      </c>
      <c r="Q218">
        <v>0</v>
      </c>
      <c r="R218">
        <v>1</v>
      </c>
      <c r="S218">
        <v>0</v>
      </c>
      <c r="T218">
        <v>0</v>
      </c>
      <c r="U218">
        <v>1</v>
      </c>
      <c r="V218" s="14" t="s">
        <v>225</v>
      </c>
    </row>
    <row r="219" spans="1:22" ht="14.25" customHeight="1" x14ac:dyDescent="0.25">
      <c r="A219" s="48" t="str">
        <f>LEFT(Tabelle1[[#This Row],[Artikel'#]],4)</f>
        <v>F035</v>
      </c>
      <c r="B219" s="46" t="str">
        <f>MID(Tabelle1[[#This Row],[Artikel'#]],5,3)</f>
        <v>139</v>
      </c>
      <c r="C219" s="48" t="str">
        <f>RIGHT(Tabelle1[[#This Row],[Artikel'#]],3)</f>
        <v>445</v>
      </c>
      <c r="D219" s="46">
        <f>IF(Tabelle1[[#This Row],[Winkel2]]=select!$A$2,1,0)</f>
        <v>1</v>
      </c>
      <c r="E2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19" s="46">
        <f>IF(select!$E$16=IF(Tabelle1[[#This Row],[mit Dämpfung]]=1,1,IF(Tabelle1[[#This Row],[ohne Dämpfung]]=1,2,IF(Tabelle1[[#This Row],[ohne Feder]]=1,3,0))),1,0)</f>
        <v>0</v>
      </c>
      <c r="G219" s="46">
        <f>IF(Tabelle1[[#This Row],[Links]]=select!$I$2,1,0)</f>
        <v>1</v>
      </c>
      <c r="H219" s="46">
        <f>IF(IF(Tabelle1[[#This Row],[Anschrauben]]=1,1,IF(Tabelle1[[#This Row],[Einpressen]]=1,2,IF(Tabelle1[[#This Row],[Werkzeuglos]]=1,3,0)))=select!$E$7,1,0)</f>
        <v>0</v>
      </c>
      <c r="I219" s="46">
        <f ca="1">IF(Tabelle1[[#This Row],[Winkel]]+Tabelle1[[#This Row],[Kröpfung]]+Tabelle1[[#This Row],[Däpfung]]+Tabelle1[[#This Row],[Bohrbild]]+Tabelle1[[#This Row],[Scharnierbefestigung]]=5,1,0)</f>
        <v>0</v>
      </c>
      <c r="J219" t="str">
        <f ca="1">Sprache!$A$58</f>
        <v>TIOMOS hinge TT-Impresso</v>
      </c>
      <c r="K219" t="s">
        <v>109</v>
      </c>
      <c r="L219" t="s">
        <v>73</v>
      </c>
      <c r="M219">
        <v>19</v>
      </c>
      <c r="N219" t="s">
        <v>3</v>
      </c>
      <c r="O219">
        <v>110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1</v>
      </c>
      <c r="V219" s="14" t="s">
        <v>225</v>
      </c>
    </row>
    <row r="220" spans="1:22" ht="14.25" customHeight="1" x14ac:dyDescent="0.25">
      <c r="A220" s="48" t="str">
        <f>LEFT(Tabelle1[[#This Row],[Artikel'#]],4)</f>
        <v>F035</v>
      </c>
      <c r="B220" s="46" t="str">
        <f>MID(Tabelle1[[#This Row],[Artikel'#]],5,3)</f>
        <v>139</v>
      </c>
      <c r="C220" s="48" t="str">
        <f>RIGHT(Tabelle1[[#This Row],[Artikel'#]],3)</f>
        <v>456</v>
      </c>
      <c r="D220" s="46">
        <f>IF(Tabelle1[[#This Row],[Winkel2]]=select!$A$2,1,0)</f>
        <v>0</v>
      </c>
      <c r="E2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0" s="46">
        <f>IF(select!$E$16=IF(Tabelle1[[#This Row],[mit Dämpfung]]=1,1,IF(Tabelle1[[#This Row],[ohne Dämpfung]]=1,2,IF(Tabelle1[[#This Row],[ohne Feder]]=1,3,0))),1,0)</f>
        <v>0</v>
      </c>
      <c r="G220" s="46">
        <f>IF(Tabelle1[[#This Row],[Links]]=select!$I$2,1,0)</f>
        <v>0</v>
      </c>
      <c r="H220" s="46">
        <f>IF(IF(Tabelle1[[#This Row],[Anschrauben]]=1,1,IF(Tabelle1[[#This Row],[Einpressen]]=1,2,IF(Tabelle1[[#This Row],[Werkzeuglos]]=1,3,0)))=select!$E$7,1,0)</f>
        <v>0</v>
      </c>
      <c r="I220" s="46">
        <f ca="1">IF(Tabelle1[[#This Row],[Winkel]]+Tabelle1[[#This Row],[Kröpfung]]+Tabelle1[[#This Row],[Däpfung]]+Tabelle1[[#This Row],[Bohrbild]]+Tabelle1[[#This Row],[Scharnierbefestigung]]=5,1,0)</f>
        <v>0</v>
      </c>
      <c r="J220" t="str">
        <f ca="1">Sprache!$A$58</f>
        <v>TIOMOS hinge TT-Impresso</v>
      </c>
      <c r="K220" t="s">
        <v>111</v>
      </c>
      <c r="L220" t="s">
        <v>73</v>
      </c>
      <c r="M220">
        <v>0</v>
      </c>
      <c r="N220" t="s">
        <v>13</v>
      </c>
      <c r="O220">
        <v>120</v>
      </c>
      <c r="P220">
        <v>0</v>
      </c>
      <c r="Q220">
        <v>0</v>
      </c>
      <c r="R220">
        <v>1</v>
      </c>
      <c r="S220">
        <v>0</v>
      </c>
      <c r="T220">
        <v>0</v>
      </c>
      <c r="U220">
        <v>1</v>
      </c>
      <c r="V220" s="14" t="s">
        <v>226</v>
      </c>
    </row>
    <row r="221" spans="1:22" ht="14.25" customHeight="1" x14ac:dyDescent="0.25">
      <c r="A221" s="48" t="str">
        <f>LEFT(Tabelle1[[#This Row],[Artikel'#]],4)</f>
        <v>F035</v>
      </c>
      <c r="B221" s="46" t="str">
        <f>MID(Tabelle1[[#This Row],[Artikel'#]],5,3)</f>
        <v>139</v>
      </c>
      <c r="C221" s="48" t="str">
        <f>RIGHT(Tabelle1[[#This Row],[Artikel'#]],3)</f>
        <v>456</v>
      </c>
      <c r="D221" s="46">
        <f>IF(Tabelle1[[#This Row],[Winkel2]]=select!$A$2,1,0)</f>
        <v>0</v>
      </c>
      <c r="E2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1" s="46">
        <f>IF(select!$E$16=IF(Tabelle1[[#This Row],[mit Dämpfung]]=1,1,IF(Tabelle1[[#This Row],[ohne Dämpfung]]=1,2,IF(Tabelle1[[#This Row],[ohne Feder]]=1,3,0))),1,0)</f>
        <v>0</v>
      </c>
      <c r="G221" s="46">
        <f>IF(Tabelle1[[#This Row],[Links]]=select!$I$2,1,0)</f>
        <v>1</v>
      </c>
      <c r="H221" s="46">
        <f>IF(IF(Tabelle1[[#This Row],[Anschrauben]]=1,1,IF(Tabelle1[[#This Row],[Einpressen]]=1,2,IF(Tabelle1[[#This Row],[Werkzeuglos]]=1,3,0)))=select!$E$7,1,0)</f>
        <v>0</v>
      </c>
      <c r="I221" s="46">
        <f ca="1">IF(Tabelle1[[#This Row],[Winkel]]+Tabelle1[[#This Row],[Kröpfung]]+Tabelle1[[#This Row],[Däpfung]]+Tabelle1[[#This Row],[Bohrbild]]+Tabelle1[[#This Row],[Scharnierbefestigung]]=5,1,0)</f>
        <v>0</v>
      </c>
      <c r="J221" t="str">
        <f ca="1">Sprache!$A$58</f>
        <v>TIOMOS hinge TT-Impresso</v>
      </c>
      <c r="K221" t="s">
        <v>111</v>
      </c>
      <c r="L221" t="s">
        <v>73</v>
      </c>
      <c r="M221">
        <v>0</v>
      </c>
      <c r="N221" t="s">
        <v>3</v>
      </c>
      <c r="O221">
        <v>120</v>
      </c>
      <c r="P221">
        <v>0</v>
      </c>
      <c r="Q221">
        <v>0</v>
      </c>
      <c r="R221">
        <v>1</v>
      </c>
      <c r="S221">
        <v>0</v>
      </c>
      <c r="T221">
        <v>0</v>
      </c>
      <c r="U221">
        <v>1</v>
      </c>
      <c r="V221" s="14" t="s">
        <v>226</v>
      </c>
    </row>
    <row r="222" spans="1:22" ht="14.25" customHeight="1" x14ac:dyDescent="0.25">
      <c r="A222" s="48" t="str">
        <f>LEFT(Tabelle1[[#This Row],[Artikel'#]],4)</f>
        <v>F035</v>
      </c>
      <c r="B222" s="46" t="str">
        <f>MID(Tabelle1[[#This Row],[Artikel'#]],5,3)</f>
        <v>139</v>
      </c>
      <c r="C222" s="48" t="str">
        <f>RIGHT(Tabelle1[[#This Row],[Artikel'#]],3)</f>
        <v>457</v>
      </c>
      <c r="D222" s="46">
        <f>IF(Tabelle1[[#This Row],[Winkel2]]=select!$A$2,1,0)</f>
        <v>0</v>
      </c>
      <c r="E2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2" s="46">
        <f>IF(select!$E$16=IF(Tabelle1[[#This Row],[mit Dämpfung]]=1,1,IF(Tabelle1[[#This Row],[ohne Dämpfung]]=1,2,IF(Tabelle1[[#This Row],[ohne Feder]]=1,3,0))),1,0)</f>
        <v>0</v>
      </c>
      <c r="G222" s="46">
        <f>IF(Tabelle1[[#This Row],[Links]]=select!$I$2,1,0)</f>
        <v>0</v>
      </c>
      <c r="H222" s="46">
        <f>IF(IF(Tabelle1[[#This Row],[Anschrauben]]=1,1,IF(Tabelle1[[#This Row],[Einpressen]]=1,2,IF(Tabelle1[[#This Row],[Werkzeuglos]]=1,3,0)))=select!$E$7,1,0)</f>
        <v>0</v>
      </c>
      <c r="I222" s="46">
        <f ca="1">IF(Tabelle1[[#This Row],[Winkel]]+Tabelle1[[#This Row],[Kröpfung]]+Tabelle1[[#This Row],[Däpfung]]+Tabelle1[[#This Row],[Bohrbild]]+Tabelle1[[#This Row],[Scharnierbefestigung]]=5,1,0)</f>
        <v>0</v>
      </c>
      <c r="J222" t="str">
        <f ca="1">Sprache!$A$58</f>
        <v>TIOMOS hinge TT-Impresso</v>
      </c>
      <c r="K222" t="s">
        <v>113</v>
      </c>
      <c r="L222" t="s">
        <v>73</v>
      </c>
      <c r="M222">
        <v>3</v>
      </c>
      <c r="N222" t="s">
        <v>13</v>
      </c>
      <c r="O222">
        <v>120</v>
      </c>
      <c r="P222">
        <v>0</v>
      </c>
      <c r="Q222">
        <v>0</v>
      </c>
      <c r="R222">
        <v>1</v>
      </c>
      <c r="S222">
        <v>0</v>
      </c>
      <c r="T222">
        <v>0</v>
      </c>
      <c r="U222">
        <v>1</v>
      </c>
      <c r="V222" s="14" t="s">
        <v>227</v>
      </c>
    </row>
    <row r="223" spans="1:22" ht="14.25" customHeight="1" x14ac:dyDescent="0.25">
      <c r="A223" s="48" t="str">
        <f>LEFT(Tabelle1[[#This Row],[Artikel'#]],4)</f>
        <v>F035</v>
      </c>
      <c r="B223" s="46" t="str">
        <f>MID(Tabelle1[[#This Row],[Artikel'#]],5,3)</f>
        <v>139</v>
      </c>
      <c r="C223" s="48" t="str">
        <f>RIGHT(Tabelle1[[#This Row],[Artikel'#]],3)</f>
        <v>457</v>
      </c>
      <c r="D223" s="46">
        <f>IF(Tabelle1[[#This Row],[Winkel2]]=select!$A$2,1,0)</f>
        <v>0</v>
      </c>
      <c r="E2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3" s="46">
        <f>IF(select!$E$16=IF(Tabelle1[[#This Row],[mit Dämpfung]]=1,1,IF(Tabelle1[[#This Row],[ohne Dämpfung]]=1,2,IF(Tabelle1[[#This Row],[ohne Feder]]=1,3,0))),1,0)</f>
        <v>0</v>
      </c>
      <c r="G223" s="46">
        <f>IF(Tabelle1[[#This Row],[Links]]=select!$I$2,1,0)</f>
        <v>1</v>
      </c>
      <c r="H223" s="46">
        <f>IF(IF(Tabelle1[[#This Row],[Anschrauben]]=1,1,IF(Tabelle1[[#This Row],[Einpressen]]=1,2,IF(Tabelle1[[#This Row],[Werkzeuglos]]=1,3,0)))=select!$E$7,1,0)</f>
        <v>0</v>
      </c>
      <c r="I223" s="46">
        <f ca="1">IF(Tabelle1[[#This Row],[Winkel]]+Tabelle1[[#This Row],[Kröpfung]]+Tabelle1[[#This Row],[Däpfung]]+Tabelle1[[#This Row],[Bohrbild]]+Tabelle1[[#This Row],[Scharnierbefestigung]]=5,1,0)</f>
        <v>0</v>
      </c>
      <c r="J223" t="str">
        <f ca="1">Sprache!$A$58</f>
        <v>TIOMOS hinge TT-Impresso</v>
      </c>
      <c r="K223" t="s">
        <v>113</v>
      </c>
      <c r="L223" t="s">
        <v>73</v>
      </c>
      <c r="M223">
        <v>3</v>
      </c>
      <c r="N223" t="s">
        <v>3</v>
      </c>
      <c r="O223">
        <v>120</v>
      </c>
      <c r="P223">
        <v>0</v>
      </c>
      <c r="Q223">
        <v>0</v>
      </c>
      <c r="R223">
        <v>1</v>
      </c>
      <c r="S223">
        <v>0</v>
      </c>
      <c r="T223">
        <v>0</v>
      </c>
      <c r="U223">
        <v>1</v>
      </c>
      <c r="V223" s="14" t="s">
        <v>227</v>
      </c>
    </row>
    <row r="224" spans="1:22" ht="14.25" customHeight="1" x14ac:dyDescent="0.25">
      <c r="A224" s="48" t="str">
        <f>LEFT(Tabelle1[[#This Row],[Artikel'#]],4)</f>
        <v>F035</v>
      </c>
      <c r="B224" s="46" t="str">
        <f>MID(Tabelle1[[#This Row],[Artikel'#]],5,3)</f>
        <v>139</v>
      </c>
      <c r="C224" s="48" t="str">
        <f>RIGHT(Tabelle1[[#This Row],[Artikel'#]],3)</f>
        <v>458</v>
      </c>
      <c r="D224" s="46">
        <f>IF(Tabelle1[[#This Row],[Winkel2]]=select!$A$2,1,0)</f>
        <v>0</v>
      </c>
      <c r="E2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24" s="46">
        <f>IF(select!$E$16=IF(Tabelle1[[#This Row],[mit Dämpfung]]=1,1,IF(Tabelle1[[#This Row],[ohne Dämpfung]]=1,2,IF(Tabelle1[[#This Row],[ohne Feder]]=1,3,0))),1,0)</f>
        <v>0</v>
      </c>
      <c r="G224" s="46">
        <f>IF(Tabelle1[[#This Row],[Links]]=select!$I$2,1,0)</f>
        <v>0</v>
      </c>
      <c r="H224" s="46">
        <f>IF(IF(Tabelle1[[#This Row],[Anschrauben]]=1,1,IF(Tabelle1[[#This Row],[Einpressen]]=1,2,IF(Tabelle1[[#This Row],[Werkzeuglos]]=1,3,0)))=select!$E$7,1,0)</f>
        <v>0</v>
      </c>
      <c r="I224" s="46">
        <f ca="1">IF(Tabelle1[[#This Row],[Winkel]]+Tabelle1[[#This Row],[Kröpfung]]+Tabelle1[[#This Row],[Däpfung]]+Tabelle1[[#This Row],[Bohrbild]]+Tabelle1[[#This Row],[Scharnierbefestigung]]=5,1,0)</f>
        <v>0</v>
      </c>
      <c r="J224" t="str">
        <f ca="1">Sprache!$A$58</f>
        <v>TIOMOS hinge TT-Impresso</v>
      </c>
      <c r="K224" t="s">
        <v>115</v>
      </c>
      <c r="L224" t="s">
        <v>73</v>
      </c>
      <c r="M224">
        <v>9.5</v>
      </c>
      <c r="N224" t="s">
        <v>13</v>
      </c>
      <c r="O224">
        <v>120</v>
      </c>
      <c r="P224">
        <v>0</v>
      </c>
      <c r="Q224">
        <v>0</v>
      </c>
      <c r="R224">
        <v>1</v>
      </c>
      <c r="S224">
        <v>0</v>
      </c>
      <c r="T224">
        <v>0</v>
      </c>
      <c r="U224">
        <v>1</v>
      </c>
      <c r="V224" s="14" t="s">
        <v>228</v>
      </c>
    </row>
    <row r="225" spans="1:22" ht="14.25" customHeight="1" x14ac:dyDescent="0.25">
      <c r="A225" s="48" t="str">
        <f>LEFT(Tabelle1[[#This Row],[Artikel'#]],4)</f>
        <v>F035</v>
      </c>
      <c r="B225" s="46" t="str">
        <f>MID(Tabelle1[[#This Row],[Artikel'#]],5,3)</f>
        <v>139</v>
      </c>
      <c r="C225" s="48" t="str">
        <f>RIGHT(Tabelle1[[#This Row],[Artikel'#]],3)</f>
        <v>458</v>
      </c>
      <c r="D225" s="46">
        <f>IF(Tabelle1[[#This Row],[Winkel2]]=select!$A$2,1,0)</f>
        <v>0</v>
      </c>
      <c r="E2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25" s="46">
        <f>IF(select!$E$16=IF(Tabelle1[[#This Row],[mit Dämpfung]]=1,1,IF(Tabelle1[[#This Row],[ohne Dämpfung]]=1,2,IF(Tabelle1[[#This Row],[ohne Feder]]=1,3,0))),1,0)</f>
        <v>0</v>
      </c>
      <c r="G225" s="46">
        <f>IF(Tabelle1[[#This Row],[Links]]=select!$I$2,1,0)</f>
        <v>1</v>
      </c>
      <c r="H225" s="46">
        <f>IF(IF(Tabelle1[[#This Row],[Anschrauben]]=1,1,IF(Tabelle1[[#This Row],[Einpressen]]=1,2,IF(Tabelle1[[#This Row],[Werkzeuglos]]=1,3,0)))=select!$E$7,1,0)</f>
        <v>0</v>
      </c>
      <c r="I225" s="46">
        <f ca="1">IF(Tabelle1[[#This Row],[Winkel]]+Tabelle1[[#This Row],[Kröpfung]]+Tabelle1[[#This Row],[Däpfung]]+Tabelle1[[#This Row],[Bohrbild]]+Tabelle1[[#This Row],[Scharnierbefestigung]]=5,1,0)</f>
        <v>0</v>
      </c>
      <c r="J225" t="str">
        <f ca="1">Sprache!$A$58</f>
        <v>TIOMOS hinge TT-Impresso</v>
      </c>
      <c r="K225" t="s">
        <v>115</v>
      </c>
      <c r="L225" t="s">
        <v>73</v>
      </c>
      <c r="M225">
        <v>9.5</v>
      </c>
      <c r="N225" t="s">
        <v>3</v>
      </c>
      <c r="O225">
        <v>120</v>
      </c>
      <c r="P225">
        <v>0</v>
      </c>
      <c r="Q225">
        <v>0</v>
      </c>
      <c r="R225">
        <v>1</v>
      </c>
      <c r="S225">
        <v>0</v>
      </c>
      <c r="T225">
        <v>0</v>
      </c>
      <c r="U225">
        <v>1</v>
      </c>
      <c r="V225" s="14" t="s">
        <v>228</v>
      </c>
    </row>
    <row r="226" spans="1:22" ht="14.25" customHeight="1" x14ac:dyDescent="0.25">
      <c r="A226" s="48" t="str">
        <f>LEFT(Tabelle1[[#This Row],[Artikel'#]],4)</f>
        <v>F035</v>
      </c>
      <c r="B226" s="46" t="str">
        <f>MID(Tabelle1[[#This Row],[Artikel'#]],5,3)</f>
        <v>139</v>
      </c>
      <c r="C226" s="48" t="str">
        <f>RIGHT(Tabelle1[[#This Row],[Artikel'#]],3)</f>
        <v>463</v>
      </c>
      <c r="D226" s="46">
        <f>IF(Tabelle1[[#This Row],[Winkel2]]=select!$A$2,1,0)</f>
        <v>0</v>
      </c>
      <c r="E2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6" s="46">
        <f>IF(select!$E$16=IF(Tabelle1[[#This Row],[mit Dämpfung]]=1,1,IF(Tabelle1[[#This Row],[ohne Dämpfung]]=1,2,IF(Tabelle1[[#This Row],[ohne Feder]]=1,3,0))),1,0)</f>
        <v>0</v>
      </c>
      <c r="G226" s="46">
        <f>IF(Tabelle1[[#This Row],[Links]]=select!$I$2,1,0)</f>
        <v>0</v>
      </c>
      <c r="H226" s="46">
        <f>IF(IF(Tabelle1[[#This Row],[Anschrauben]]=1,1,IF(Tabelle1[[#This Row],[Einpressen]]=1,2,IF(Tabelle1[[#This Row],[Werkzeuglos]]=1,3,0)))=select!$E$7,1,0)</f>
        <v>0</v>
      </c>
      <c r="I226" s="46">
        <f ca="1">IF(Tabelle1[[#This Row],[Winkel]]+Tabelle1[[#This Row],[Kröpfung]]+Tabelle1[[#This Row],[Däpfung]]+Tabelle1[[#This Row],[Bohrbild]]+Tabelle1[[#This Row],[Scharnierbefestigung]]=5,1,0)</f>
        <v>0</v>
      </c>
      <c r="J226" t="str">
        <f ca="1">Sprache!$A$58</f>
        <v>TIOMOS hinge TT-Impresso</v>
      </c>
      <c r="K226" t="s">
        <v>117</v>
      </c>
      <c r="L226" t="s">
        <v>73</v>
      </c>
      <c r="M226">
        <v>0</v>
      </c>
      <c r="N226" s="13" t="s">
        <v>13</v>
      </c>
      <c r="O226">
        <v>160</v>
      </c>
      <c r="P226">
        <v>0</v>
      </c>
      <c r="Q226">
        <v>0</v>
      </c>
      <c r="R226">
        <v>1</v>
      </c>
      <c r="S226">
        <v>0</v>
      </c>
      <c r="T226">
        <v>0</v>
      </c>
      <c r="U226">
        <v>1</v>
      </c>
      <c r="V226" s="14" t="s">
        <v>229</v>
      </c>
    </row>
    <row r="227" spans="1:22" ht="14.25" customHeight="1" x14ac:dyDescent="0.25">
      <c r="A227" s="48" t="str">
        <f>LEFT(Tabelle1[[#This Row],[Artikel'#]],4)</f>
        <v>F035</v>
      </c>
      <c r="B227" s="46" t="str">
        <f>MID(Tabelle1[[#This Row],[Artikel'#]],5,3)</f>
        <v>139</v>
      </c>
      <c r="C227" s="48" t="str">
        <f>RIGHT(Tabelle1[[#This Row],[Artikel'#]],3)</f>
        <v>463</v>
      </c>
      <c r="D227" s="46">
        <f>IF(Tabelle1[[#This Row],[Winkel2]]=select!$A$2,1,0)</f>
        <v>0</v>
      </c>
      <c r="E2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7" s="46">
        <f>IF(select!$E$16=IF(Tabelle1[[#This Row],[mit Dämpfung]]=1,1,IF(Tabelle1[[#This Row],[ohne Dämpfung]]=1,2,IF(Tabelle1[[#This Row],[ohne Feder]]=1,3,0))),1,0)</f>
        <v>0</v>
      </c>
      <c r="G227" s="46">
        <f>IF(Tabelle1[[#This Row],[Links]]=select!$I$2,1,0)</f>
        <v>1</v>
      </c>
      <c r="H227" s="46">
        <f>IF(IF(Tabelle1[[#This Row],[Anschrauben]]=1,1,IF(Tabelle1[[#This Row],[Einpressen]]=1,2,IF(Tabelle1[[#This Row],[Werkzeuglos]]=1,3,0)))=select!$E$7,1,0)</f>
        <v>0</v>
      </c>
      <c r="I227" s="46">
        <f ca="1">IF(Tabelle1[[#This Row],[Winkel]]+Tabelle1[[#This Row],[Kröpfung]]+Tabelle1[[#This Row],[Däpfung]]+Tabelle1[[#This Row],[Bohrbild]]+Tabelle1[[#This Row],[Scharnierbefestigung]]=5,1,0)</f>
        <v>0</v>
      </c>
      <c r="J227" t="str">
        <f ca="1">Sprache!$A$58</f>
        <v>TIOMOS hinge TT-Impresso</v>
      </c>
      <c r="K227" t="s">
        <v>117</v>
      </c>
      <c r="L227" t="s">
        <v>73</v>
      </c>
      <c r="M227">
        <v>0</v>
      </c>
      <c r="N227" s="13" t="s">
        <v>3</v>
      </c>
      <c r="O227">
        <v>160</v>
      </c>
      <c r="P227">
        <v>0</v>
      </c>
      <c r="Q227">
        <v>0</v>
      </c>
      <c r="R227">
        <v>1</v>
      </c>
      <c r="S227">
        <v>0</v>
      </c>
      <c r="T227">
        <v>0</v>
      </c>
      <c r="U227">
        <v>1</v>
      </c>
      <c r="V227" s="14" t="s">
        <v>229</v>
      </c>
    </row>
    <row r="228" spans="1:22" ht="14.25" customHeight="1" x14ac:dyDescent="0.25">
      <c r="A228" s="48" t="str">
        <f>LEFT(Tabelle1[[#This Row],[Artikel'#]],4)</f>
        <v>F035</v>
      </c>
      <c r="B228" s="46" t="str">
        <f>MID(Tabelle1[[#This Row],[Artikel'#]],5,3)</f>
        <v>139</v>
      </c>
      <c r="C228" s="48" t="str">
        <f>RIGHT(Tabelle1[[#This Row],[Artikel'#]],3)</f>
        <v>464</v>
      </c>
      <c r="D228" s="46">
        <f>IF(Tabelle1[[#This Row],[Winkel2]]=select!$A$2,1,0)</f>
        <v>0</v>
      </c>
      <c r="E2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8" s="46">
        <f>IF(select!$E$16=IF(Tabelle1[[#This Row],[mit Dämpfung]]=1,1,IF(Tabelle1[[#This Row],[ohne Dämpfung]]=1,2,IF(Tabelle1[[#This Row],[ohne Feder]]=1,3,0))),1,0)</f>
        <v>0</v>
      </c>
      <c r="G228" s="46">
        <f>IF(Tabelle1[[#This Row],[Links]]=select!$I$2,1,0)</f>
        <v>0</v>
      </c>
      <c r="H228" s="46">
        <f>IF(IF(Tabelle1[[#This Row],[Anschrauben]]=1,1,IF(Tabelle1[[#This Row],[Einpressen]]=1,2,IF(Tabelle1[[#This Row],[Werkzeuglos]]=1,3,0)))=select!$E$7,1,0)</f>
        <v>0</v>
      </c>
      <c r="I228" s="46">
        <f ca="1">IF(Tabelle1[[#This Row],[Winkel]]+Tabelle1[[#This Row],[Kröpfung]]+Tabelle1[[#This Row],[Däpfung]]+Tabelle1[[#This Row],[Bohrbild]]+Tabelle1[[#This Row],[Scharnierbefestigung]]=5,1,0)</f>
        <v>0</v>
      </c>
      <c r="J228" t="str">
        <f ca="1">Sprache!$A$58</f>
        <v>TIOMOS hinge TT-Impresso</v>
      </c>
      <c r="K228" t="s">
        <v>119</v>
      </c>
      <c r="L228" t="s">
        <v>73</v>
      </c>
      <c r="M228">
        <v>3</v>
      </c>
      <c r="N228" t="s">
        <v>13</v>
      </c>
      <c r="O228">
        <v>160</v>
      </c>
      <c r="P228">
        <v>0</v>
      </c>
      <c r="Q228">
        <v>0</v>
      </c>
      <c r="R228">
        <v>1</v>
      </c>
      <c r="S228">
        <v>0</v>
      </c>
      <c r="T228">
        <v>0</v>
      </c>
      <c r="U228">
        <v>1</v>
      </c>
      <c r="V228" s="14" t="s">
        <v>230</v>
      </c>
    </row>
    <row r="229" spans="1:22" ht="14.25" customHeight="1" x14ac:dyDescent="0.25">
      <c r="A229" s="48" t="str">
        <f>LEFT(Tabelle1[[#This Row],[Artikel'#]],4)</f>
        <v>F035</v>
      </c>
      <c r="B229" s="46" t="str">
        <f>MID(Tabelle1[[#This Row],[Artikel'#]],5,3)</f>
        <v>139</v>
      </c>
      <c r="C229" s="48" t="str">
        <f>RIGHT(Tabelle1[[#This Row],[Artikel'#]],3)</f>
        <v>464</v>
      </c>
      <c r="D229" s="46">
        <f>IF(Tabelle1[[#This Row],[Winkel2]]=select!$A$2,1,0)</f>
        <v>0</v>
      </c>
      <c r="E2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29" s="46">
        <f>IF(select!$E$16=IF(Tabelle1[[#This Row],[mit Dämpfung]]=1,1,IF(Tabelle1[[#This Row],[ohne Dämpfung]]=1,2,IF(Tabelle1[[#This Row],[ohne Feder]]=1,3,0))),1,0)</f>
        <v>0</v>
      </c>
      <c r="G229" s="46">
        <f>IF(Tabelle1[[#This Row],[Links]]=select!$I$2,1,0)</f>
        <v>1</v>
      </c>
      <c r="H229" s="46">
        <f>IF(IF(Tabelle1[[#This Row],[Anschrauben]]=1,1,IF(Tabelle1[[#This Row],[Einpressen]]=1,2,IF(Tabelle1[[#This Row],[Werkzeuglos]]=1,3,0)))=select!$E$7,1,0)</f>
        <v>0</v>
      </c>
      <c r="I229" s="46">
        <f ca="1">IF(Tabelle1[[#This Row],[Winkel]]+Tabelle1[[#This Row],[Kröpfung]]+Tabelle1[[#This Row],[Däpfung]]+Tabelle1[[#This Row],[Bohrbild]]+Tabelle1[[#This Row],[Scharnierbefestigung]]=5,1,0)</f>
        <v>0</v>
      </c>
      <c r="J229" t="str">
        <f ca="1">Sprache!$A$58</f>
        <v>TIOMOS hinge TT-Impresso</v>
      </c>
      <c r="K229" t="s">
        <v>119</v>
      </c>
      <c r="L229" t="s">
        <v>73</v>
      </c>
      <c r="M229">
        <v>3</v>
      </c>
      <c r="N229" t="s">
        <v>3</v>
      </c>
      <c r="O229">
        <v>160</v>
      </c>
      <c r="P229">
        <v>0</v>
      </c>
      <c r="Q229">
        <v>0</v>
      </c>
      <c r="R229">
        <v>1</v>
      </c>
      <c r="S229">
        <v>0</v>
      </c>
      <c r="T229">
        <v>0</v>
      </c>
      <c r="U229">
        <v>1</v>
      </c>
      <c r="V229" s="14" t="s">
        <v>230</v>
      </c>
    </row>
    <row r="230" spans="1:22" ht="14.25" customHeight="1" x14ac:dyDescent="0.25">
      <c r="A230" s="48" t="str">
        <f>LEFT(Tabelle1[[#This Row],[Artikel'#]],4)</f>
        <v>F035</v>
      </c>
      <c r="B230" s="46" t="str">
        <f>MID(Tabelle1[[#This Row],[Artikel'#]],5,3)</f>
        <v>139</v>
      </c>
      <c r="C230" s="48" t="str">
        <f>RIGHT(Tabelle1[[#This Row],[Artikel'#]],3)</f>
        <v>465</v>
      </c>
      <c r="D230" s="46">
        <f>IF(Tabelle1[[#This Row],[Winkel2]]=select!$A$2,1,0)</f>
        <v>0</v>
      </c>
      <c r="E2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30" s="46">
        <f>IF(select!$E$16=IF(Tabelle1[[#This Row],[mit Dämpfung]]=1,1,IF(Tabelle1[[#This Row],[ohne Dämpfung]]=1,2,IF(Tabelle1[[#This Row],[ohne Feder]]=1,3,0))),1,0)</f>
        <v>0</v>
      </c>
      <c r="G230" s="46">
        <f>IF(Tabelle1[[#This Row],[Links]]=select!$I$2,1,0)</f>
        <v>0</v>
      </c>
      <c r="H230" s="46">
        <f>IF(IF(Tabelle1[[#This Row],[Anschrauben]]=1,1,IF(Tabelle1[[#This Row],[Einpressen]]=1,2,IF(Tabelle1[[#This Row],[Werkzeuglos]]=1,3,0)))=select!$E$7,1,0)</f>
        <v>0</v>
      </c>
      <c r="I230" s="46">
        <f ca="1">IF(Tabelle1[[#This Row],[Winkel]]+Tabelle1[[#This Row],[Kröpfung]]+Tabelle1[[#This Row],[Däpfung]]+Tabelle1[[#This Row],[Bohrbild]]+Tabelle1[[#This Row],[Scharnierbefestigung]]=5,1,0)</f>
        <v>0</v>
      </c>
      <c r="J230" t="str">
        <f ca="1">Sprache!$A$58</f>
        <v>TIOMOS hinge TT-Impresso</v>
      </c>
      <c r="K230" t="s">
        <v>121</v>
      </c>
      <c r="L230" t="s">
        <v>73</v>
      </c>
      <c r="M230">
        <v>9.5</v>
      </c>
      <c r="N230" t="s">
        <v>13</v>
      </c>
      <c r="O230">
        <v>160</v>
      </c>
      <c r="P230">
        <v>0</v>
      </c>
      <c r="Q230">
        <v>0</v>
      </c>
      <c r="R230">
        <v>1</v>
      </c>
      <c r="S230">
        <v>0</v>
      </c>
      <c r="T230">
        <v>0</v>
      </c>
      <c r="U230">
        <v>1</v>
      </c>
      <c r="V230" s="14" t="s">
        <v>231</v>
      </c>
    </row>
    <row r="231" spans="1:22" ht="14.25" customHeight="1" x14ac:dyDescent="0.25">
      <c r="A231" s="48" t="str">
        <f>LEFT(Tabelle1[[#This Row],[Artikel'#]],4)</f>
        <v>F035</v>
      </c>
      <c r="B231" s="46" t="str">
        <f>MID(Tabelle1[[#This Row],[Artikel'#]],5,3)</f>
        <v>139</v>
      </c>
      <c r="C231" s="48" t="str">
        <f>RIGHT(Tabelle1[[#This Row],[Artikel'#]],3)</f>
        <v>465</v>
      </c>
      <c r="D231" s="46">
        <f>IF(Tabelle1[[#This Row],[Winkel2]]=select!$A$2,1,0)</f>
        <v>0</v>
      </c>
      <c r="E2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31" s="46">
        <f>IF(select!$E$16=IF(Tabelle1[[#This Row],[mit Dämpfung]]=1,1,IF(Tabelle1[[#This Row],[ohne Dämpfung]]=1,2,IF(Tabelle1[[#This Row],[ohne Feder]]=1,3,0))),1,0)</f>
        <v>0</v>
      </c>
      <c r="G231" s="46">
        <f>IF(Tabelle1[[#This Row],[Links]]=select!$I$2,1,0)</f>
        <v>1</v>
      </c>
      <c r="H231" s="46">
        <f>IF(IF(Tabelle1[[#This Row],[Anschrauben]]=1,1,IF(Tabelle1[[#This Row],[Einpressen]]=1,2,IF(Tabelle1[[#This Row],[Werkzeuglos]]=1,3,0)))=select!$E$7,1,0)</f>
        <v>0</v>
      </c>
      <c r="I231" s="46">
        <f ca="1">IF(Tabelle1[[#This Row],[Winkel]]+Tabelle1[[#This Row],[Kröpfung]]+Tabelle1[[#This Row],[Däpfung]]+Tabelle1[[#This Row],[Bohrbild]]+Tabelle1[[#This Row],[Scharnierbefestigung]]=5,1,0)</f>
        <v>0</v>
      </c>
      <c r="J231" t="str">
        <f ca="1">Sprache!$A$58</f>
        <v>TIOMOS hinge TT-Impresso</v>
      </c>
      <c r="K231" t="s">
        <v>121</v>
      </c>
      <c r="L231" t="s">
        <v>73</v>
      </c>
      <c r="M231">
        <v>9.5</v>
      </c>
      <c r="N231" t="s">
        <v>3</v>
      </c>
      <c r="O231">
        <v>160</v>
      </c>
      <c r="P231">
        <v>0</v>
      </c>
      <c r="Q231">
        <v>0</v>
      </c>
      <c r="R231">
        <v>1</v>
      </c>
      <c r="S231">
        <v>0</v>
      </c>
      <c r="T231">
        <v>0</v>
      </c>
      <c r="U231">
        <v>1</v>
      </c>
      <c r="V231" s="14" t="s">
        <v>231</v>
      </c>
    </row>
    <row r="232" spans="1:22" ht="14.25" customHeight="1" x14ac:dyDescent="0.25">
      <c r="A232" s="48" t="str">
        <f>LEFT(Tabelle1[[#This Row],[Artikel'#]],4)</f>
        <v>F035</v>
      </c>
      <c r="B232" s="46" t="str">
        <f>MID(Tabelle1[[#This Row],[Artikel'#]],5,3)</f>
        <v>139</v>
      </c>
      <c r="C232" s="48" t="str">
        <f>RIGHT(Tabelle1[[#This Row],[Artikel'#]],3)</f>
        <v>466</v>
      </c>
      <c r="D232" s="46">
        <f>IF(Tabelle1[[#This Row],[Winkel2]]=select!$A$2,1,0)</f>
        <v>0</v>
      </c>
      <c r="E2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2" s="46">
        <f>IF(select!$E$16=IF(Tabelle1[[#This Row],[mit Dämpfung]]=1,1,IF(Tabelle1[[#This Row],[ohne Dämpfung]]=1,2,IF(Tabelle1[[#This Row],[ohne Feder]]=1,3,0))),1,0)</f>
        <v>0</v>
      </c>
      <c r="G232" s="46">
        <f>IF(Tabelle1[[#This Row],[Links]]=select!$I$2,1,0)</f>
        <v>0</v>
      </c>
      <c r="H232" s="46">
        <f>IF(IF(Tabelle1[[#This Row],[Anschrauben]]=1,1,IF(Tabelle1[[#This Row],[Einpressen]]=1,2,IF(Tabelle1[[#This Row],[Werkzeuglos]]=1,3,0)))=select!$E$7,1,0)</f>
        <v>0</v>
      </c>
      <c r="I232" s="46">
        <f ca="1">IF(Tabelle1[[#This Row],[Winkel]]+Tabelle1[[#This Row],[Kröpfung]]+Tabelle1[[#This Row],[Däpfung]]+Tabelle1[[#This Row],[Bohrbild]]+Tabelle1[[#This Row],[Scharnierbefestigung]]=5,1,0)</f>
        <v>0</v>
      </c>
      <c r="J232" t="str">
        <f ca="1">Sprache!$A$58</f>
        <v>TIOMOS hinge TT-Impresso</v>
      </c>
      <c r="K232" t="s">
        <v>123</v>
      </c>
      <c r="L232" t="s">
        <v>73</v>
      </c>
      <c r="M232">
        <v>0</v>
      </c>
      <c r="N232" t="s">
        <v>13</v>
      </c>
      <c r="O232">
        <v>95</v>
      </c>
      <c r="P232">
        <v>0</v>
      </c>
      <c r="Q232">
        <v>0</v>
      </c>
      <c r="R232">
        <v>1</v>
      </c>
      <c r="S232">
        <v>0</v>
      </c>
      <c r="T232">
        <v>0</v>
      </c>
      <c r="U232">
        <v>1</v>
      </c>
      <c r="V232" s="14" t="s">
        <v>232</v>
      </c>
    </row>
    <row r="233" spans="1:22" ht="14.25" customHeight="1" x14ac:dyDescent="0.25">
      <c r="A233" s="48" t="str">
        <f>LEFT(Tabelle1[[#This Row],[Artikel'#]],4)</f>
        <v>F035</v>
      </c>
      <c r="B233" s="46" t="str">
        <f>MID(Tabelle1[[#This Row],[Artikel'#]],5,3)</f>
        <v>139</v>
      </c>
      <c r="C233" s="48" t="str">
        <f>RIGHT(Tabelle1[[#This Row],[Artikel'#]],3)</f>
        <v>466</v>
      </c>
      <c r="D233" s="46">
        <f>IF(Tabelle1[[#This Row],[Winkel2]]=select!$A$2,1,0)</f>
        <v>0</v>
      </c>
      <c r="E2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3" s="46">
        <f>IF(select!$E$16=IF(Tabelle1[[#This Row],[mit Dämpfung]]=1,1,IF(Tabelle1[[#This Row],[ohne Dämpfung]]=1,2,IF(Tabelle1[[#This Row],[ohne Feder]]=1,3,0))),1,0)</f>
        <v>0</v>
      </c>
      <c r="G233" s="46">
        <f>IF(Tabelle1[[#This Row],[Links]]=select!$I$2,1,0)</f>
        <v>1</v>
      </c>
      <c r="H233" s="46">
        <f>IF(IF(Tabelle1[[#This Row],[Anschrauben]]=1,1,IF(Tabelle1[[#This Row],[Einpressen]]=1,2,IF(Tabelle1[[#This Row],[Werkzeuglos]]=1,3,0)))=select!$E$7,1,0)</f>
        <v>0</v>
      </c>
      <c r="I233" s="46">
        <f ca="1">IF(Tabelle1[[#This Row],[Winkel]]+Tabelle1[[#This Row],[Kröpfung]]+Tabelle1[[#This Row],[Däpfung]]+Tabelle1[[#This Row],[Bohrbild]]+Tabelle1[[#This Row],[Scharnierbefestigung]]=5,1,0)</f>
        <v>0</v>
      </c>
      <c r="J233" t="str">
        <f ca="1">Sprache!$A$58</f>
        <v>TIOMOS hinge TT-Impresso</v>
      </c>
      <c r="K233" t="s">
        <v>123</v>
      </c>
      <c r="L233" t="s">
        <v>73</v>
      </c>
      <c r="M233">
        <v>0</v>
      </c>
      <c r="N233" t="s">
        <v>3</v>
      </c>
      <c r="O233">
        <v>95</v>
      </c>
      <c r="P233">
        <v>0</v>
      </c>
      <c r="Q233">
        <v>0</v>
      </c>
      <c r="R233">
        <v>1</v>
      </c>
      <c r="S233">
        <v>0</v>
      </c>
      <c r="T233">
        <v>0</v>
      </c>
      <c r="U233">
        <v>1</v>
      </c>
      <c r="V233" s="14" t="s">
        <v>232</v>
      </c>
    </row>
    <row r="234" spans="1:22" ht="14.25" customHeight="1" x14ac:dyDescent="0.25">
      <c r="A234" s="48" t="str">
        <f>LEFT(Tabelle1[[#This Row],[Artikel'#]],4)</f>
        <v>F035</v>
      </c>
      <c r="B234" s="46" t="str">
        <f>MID(Tabelle1[[#This Row],[Artikel'#]],5,3)</f>
        <v>139</v>
      </c>
      <c r="C234" s="48" t="str">
        <f>RIGHT(Tabelle1[[#This Row],[Artikel'#]],3)</f>
        <v>467</v>
      </c>
      <c r="D234" s="46">
        <f>IF(Tabelle1[[#This Row],[Winkel2]]=select!$A$2,1,0)</f>
        <v>0</v>
      </c>
      <c r="E2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4" s="46">
        <f>IF(select!$E$16=IF(Tabelle1[[#This Row],[mit Dämpfung]]=1,1,IF(Tabelle1[[#This Row],[ohne Dämpfung]]=1,2,IF(Tabelle1[[#This Row],[ohne Feder]]=1,3,0))),1,0)</f>
        <v>0</v>
      </c>
      <c r="G234" s="46">
        <f>IF(Tabelle1[[#This Row],[Links]]=select!$I$2,1,0)</f>
        <v>0</v>
      </c>
      <c r="H234" s="46">
        <f>IF(IF(Tabelle1[[#This Row],[Anschrauben]]=1,1,IF(Tabelle1[[#This Row],[Einpressen]]=1,2,IF(Tabelle1[[#This Row],[Werkzeuglos]]=1,3,0)))=select!$E$7,1,0)</f>
        <v>0</v>
      </c>
      <c r="I234" s="46">
        <f ca="1">IF(Tabelle1[[#This Row],[Winkel]]+Tabelle1[[#This Row],[Kröpfung]]+Tabelle1[[#This Row],[Däpfung]]+Tabelle1[[#This Row],[Bohrbild]]+Tabelle1[[#This Row],[Scharnierbefestigung]]=5,1,0)</f>
        <v>0</v>
      </c>
      <c r="J234" t="str">
        <f ca="1">Sprache!$A$58</f>
        <v>TIOMOS hinge TT-Impresso</v>
      </c>
      <c r="K234" t="s">
        <v>125</v>
      </c>
      <c r="L234" t="s">
        <v>73</v>
      </c>
      <c r="M234">
        <v>3</v>
      </c>
      <c r="N234" t="s">
        <v>13</v>
      </c>
      <c r="O234">
        <v>95</v>
      </c>
      <c r="P234">
        <v>0</v>
      </c>
      <c r="Q234">
        <v>0</v>
      </c>
      <c r="R234">
        <v>1</v>
      </c>
      <c r="S234">
        <v>0</v>
      </c>
      <c r="T234">
        <v>0</v>
      </c>
      <c r="U234">
        <v>1</v>
      </c>
      <c r="V234" s="14" t="s">
        <v>233</v>
      </c>
    </row>
    <row r="235" spans="1:22" ht="14.25" customHeight="1" x14ac:dyDescent="0.25">
      <c r="A235" s="48" t="str">
        <f>LEFT(Tabelle1[[#This Row],[Artikel'#]],4)</f>
        <v>F035</v>
      </c>
      <c r="B235" s="46" t="str">
        <f>MID(Tabelle1[[#This Row],[Artikel'#]],5,3)</f>
        <v>139</v>
      </c>
      <c r="C235" s="48" t="str">
        <f>RIGHT(Tabelle1[[#This Row],[Artikel'#]],3)</f>
        <v>467</v>
      </c>
      <c r="D235" s="46">
        <f>IF(Tabelle1[[#This Row],[Winkel2]]=select!$A$2,1,0)</f>
        <v>0</v>
      </c>
      <c r="E2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5" s="46">
        <f>IF(select!$E$16=IF(Tabelle1[[#This Row],[mit Dämpfung]]=1,1,IF(Tabelle1[[#This Row],[ohne Dämpfung]]=1,2,IF(Tabelle1[[#This Row],[ohne Feder]]=1,3,0))),1,0)</f>
        <v>0</v>
      </c>
      <c r="G235" s="46">
        <f>IF(Tabelle1[[#This Row],[Links]]=select!$I$2,1,0)</f>
        <v>1</v>
      </c>
      <c r="H235" s="46">
        <f>IF(IF(Tabelle1[[#This Row],[Anschrauben]]=1,1,IF(Tabelle1[[#This Row],[Einpressen]]=1,2,IF(Tabelle1[[#This Row],[Werkzeuglos]]=1,3,0)))=select!$E$7,1,0)</f>
        <v>0</v>
      </c>
      <c r="I235" s="46">
        <f ca="1">IF(Tabelle1[[#This Row],[Winkel]]+Tabelle1[[#This Row],[Kröpfung]]+Tabelle1[[#This Row],[Däpfung]]+Tabelle1[[#This Row],[Bohrbild]]+Tabelle1[[#This Row],[Scharnierbefestigung]]=5,1,0)</f>
        <v>0</v>
      </c>
      <c r="J235" t="str">
        <f ca="1">Sprache!$A$58</f>
        <v>TIOMOS hinge TT-Impresso</v>
      </c>
      <c r="K235" t="s">
        <v>125</v>
      </c>
      <c r="L235" t="s">
        <v>73</v>
      </c>
      <c r="M235">
        <v>3</v>
      </c>
      <c r="N235" t="s">
        <v>3</v>
      </c>
      <c r="O235">
        <v>95</v>
      </c>
      <c r="P235">
        <v>0</v>
      </c>
      <c r="Q235">
        <v>0</v>
      </c>
      <c r="R235">
        <v>1</v>
      </c>
      <c r="S235">
        <v>0</v>
      </c>
      <c r="T235">
        <v>0</v>
      </c>
      <c r="U235">
        <v>1</v>
      </c>
      <c r="V235" s="14" t="s">
        <v>233</v>
      </c>
    </row>
    <row r="236" spans="1:22" ht="14.25" customHeight="1" x14ac:dyDescent="0.25">
      <c r="A236" s="48" t="str">
        <f>LEFT(Tabelle1[[#This Row],[Artikel'#]],4)</f>
        <v>F035</v>
      </c>
      <c r="B236" s="46" t="str">
        <f>MID(Tabelle1[[#This Row],[Artikel'#]],5,3)</f>
        <v>139</v>
      </c>
      <c r="C236" s="48" t="str">
        <f>RIGHT(Tabelle1[[#This Row],[Artikel'#]],3)</f>
        <v>468</v>
      </c>
      <c r="D236" s="46">
        <f>IF(Tabelle1[[#This Row],[Winkel2]]=select!$A$2,1,0)</f>
        <v>0</v>
      </c>
      <c r="E2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36" s="46">
        <f>IF(select!$E$16=IF(Tabelle1[[#This Row],[mit Dämpfung]]=1,1,IF(Tabelle1[[#This Row],[ohne Dämpfung]]=1,2,IF(Tabelle1[[#This Row],[ohne Feder]]=1,3,0))),1,0)</f>
        <v>0</v>
      </c>
      <c r="G236" s="46">
        <f>IF(Tabelle1[[#This Row],[Links]]=select!$I$2,1,0)</f>
        <v>0</v>
      </c>
      <c r="H236" s="46">
        <f>IF(IF(Tabelle1[[#This Row],[Anschrauben]]=1,1,IF(Tabelle1[[#This Row],[Einpressen]]=1,2,IF(Tabelle1[[#This Row],[Werkzeuglos]]=1,3,0)))=select!$E$7,1,0)</f>
        <v>0</v>
      </c>
      <c r="I236" s="46">
        <f ca="1">IF(Tabelle1[[#This Row],[Winkel]]+Tabelle1[[#This Row],[Kröpfung]]+Tabelle1[[#This Row],[Däpfung]]+Tabelle1[[#This Row],[Bohrbild]]+Tabelle1[[#This Row],[Scharnierbefestigung]]=5,1,0)</f>
        <v>0</v>
      </c>
      <c r="J236" t="str">
        <f ca="1">Sprache!$A$58</f>
        <v>TIOMOS hinge TT-Impresso</v>
      </c>
      <c r="K236" t="s">
        <v>127</v>
      </c>
      <c r="L236" t="str">
        <f ca="1">Sprache!$A$62</f>
        <v>TIOMOS Impresso hinges</v>
      </c>
      <c r="M236">
        <v>9.5</v>
      </c>
      <c r="N236" t="s">
        <v>13</v>
      </c>
      <c r="O236">
        <v>95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1</v>
      </c>
      <c r="V236" s="14" t="s">
        <v>234</v>
      </c>
    </row>
    <row r="237" spans="1:22" ht="14.25" customHeight="1" x14ac:dyDescent="0.25">
      <c r="A237" s="48" t="str">
        <f>LEFT(Tabelle1[[#This Row],[Artikel'#]],4)</f>
        <v>F035</v>
      </c>
      <c r="B237" s="46" t="str">
        <f>MID(Tabelle1[[#This Row],[Artikel'#]],5,3)</f>
        <v>139</v>
      </c>
      <c r="C237" s="48" t="str">
        <f>RIGHT(Tabelle1[[#This Row],[Artikel'#]],3)</f>
        <v>468</v>
      </c>
      <c r="D237" s="46">
        <f>IF(Tabelle1[[#This Row],[Winkel2]]=select!$A$2,1,0)</f>
        <v>0</v>
      </c>
      <c r="E2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37" s="46">
        <f>IF(select!$E$16=IF(Tabelle1[[#This Row],[mit Dämpfung]]=1,1,IF(Tabelle1[[#This Row],[ohne Dämpfung]]=1,2,IF(Tabelle1[[#This Row],[ohne Feder]]=1,3,0))),1,0)</f>
        <v>0</v>
      </c>
      <c r="G237" s="46">
        <f>IF(Tabelle1[[#This Row],[Links]]=select!$I$2,1,0)</f>
        <v>1</v>
      </c>
      <c r="H237" s="46">
        <f>IF(IF(Tabelle1[[#This Row],[Anschrauben]]=1,1,IF(Tabelle1[[#This Row],[Einpressen]]=1,2,IF(Tabelle1[[#This Row],[Werkzeuglos]]=1,3,0)))=select!$E$7,1,0)</f>
        <v>0</v>
      </c>
      <c r="I237" s="46">
        <f ca="1">IF(Tabelle1[[#This Row],[Winkel]]+Tabelle1[[#This Row],[Kröpfung]]+Tabelle1[[#This Row],[Däpfung]]+Tabelle1[[#This Row],[Bohrbild]]+Tabelle1[[#This Row],[Scharnierbefestigung]]=5,1,0)</f>
        <v>0</v>
      </c>
      <c r="J237" t="str">
        <f ca="1">Sprache!$A$58</f>
        <v>TIOMOS hinge TT-Impresso</v>
      </c>
      <c r="K237" t="s">
        <v>127</v>
      </c>
      <c r="L237" t="str">
        <f ca="1">Sprache!$A$62</f>
        <v>TIOMOS Impresso hinges</v>
      </c>
      <c r="M237">
        <v>9.5</v>
      </c>
      <c r="N237" t="s">
        <v>3</v>
      </c>
      <c r="O237">
        <v>95</v>
      </c>
      <c r="P237">
        <v>0</v>
      </c>
      <c r="Q237">
        <v>0</v>
      </c>
      <c r="R237">
        <v>1</v>
      </c>
      <c r="S237">
        <v>0</v>
      </c>
      <c r="T237">
        <v>0</v>
      </c>
      <c r="U237">
        <v>1</v>
      </c>
      <c r="V237" s="14" t="s">
        <v>234</v>
      </c>
    </row>
    <row r="238" spans="1:22" ht="14.25" customHeight="1" x14ac:dyDescent="0.25">
      <c r="A238" s="48" t="str">
        <f>LEFT(Tabelle1[[#This Row],[Artikel'#]],4)</f>
        <v>F035</v>
      </c>
      <c r="B238" s="46" t="str">
        <f>MID(Tabelle1[[#This Row],[Artikel'#]],5,3)</f>
        <v>139</v>
      </c>
      <c r="C238" s="48" t="str">
        <f>RIGHT(Tabelle1[[#This Row],[Artikel'#]],3)</f>
        <v>469</v>
      </c>
      <c r="D238" s="46">
        <f>IF(Tabelle1[[#This Row],[Winkel2]]=select!$A$2,1,0)</f>
        <v>0</v>
      </c>
      <c r="E2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8" s="46">
        <f>IF(select!$E$16=IF(Tabelle1[[#This Row],[mit Dämpfung]]=1,1,IF(Tabelle1[[#This Row],[ohne Dämpfung]]=1,2,IF(Tabelle1[[#This Row],[ohne Feder]]=1,3,0))),1,0)</f>
        <v>0</v>
      </c>
      <c r="G238" s="46">
        <f>IF(Tabelle1[[#This Row],[Links]]=select!$I$2,1,0)</f>
        <v>0</v>
      </c>
      <c r="H238" s="46">
        <f>IF(IF(Tabelle1[[#This Row],[Anschrauben]]=1,1,IF(Tabelle1[[#This Row],[Einpressen]]=1,2,IF(Tabelle1[[#This Row],[Werkzeuglos]]=1,3,0)))=select!$E$7,1,0)</f>
        <v>0</v>
      </c>
      <c r="I238" s="46">
        <f ca="1">IF(Tabelle1[[#This Row],[Winkel]]+Tabelle1[[#This Row],[Kröpfung]]+Tabelle1[[#This Row],[Däpfung]]+Tabelle1[[#This Row],[Bohrbild]]+Tabelle1[[#This Row],[Scharnierbefestigung]]=5,1,0)</f>
        <v>0</v>
      </c>
      <c r="J238" t="str">
        <f ca="1">Sprache!$A$58</f>
        <v>TIOMOS hinge TT-Impresso</v>
      </c>
      <c r="K238" t="s">
        <v>129</v>
      </c>
      <c r="L238" t="str">
        <f ca="1">Sprache!$A$62</f>
        <v>TIOMOS Impresso hinges</v>
      </c>
      <c r="M238">
        <v>19</v>
      </c>
      <c r="N238" t="s">
        <v>13</v>
      </c>
      <c r="O238">
        <v>95</v>
      </c>
      <c r="P238">
        <v>0</v>
      </c>
      <c r="Q238">
        <v>0</v>
      </c>
      <c r="R238">
        <v>1</v>
      </c>
      <c r="S238">
        <v>0</v>
      </c>
      <c r="T238">
        <v>0</v>
      </c>
      <c r="U238">
        <v>1</v>
      </c>
      <c r="V238" s="14" t="s">
        <v>235</v>
      </c>
    </row>
    <row r="239" spans="1:22" ht="14.25" customHeight="1" x14ac:dyDescent="0.25">
      <c r="A239" s="48" t="str">
        <f>LEFT(Tabelle1[[#This Row],[Artikel'#]],4)</f>
        <v>F035</v>
      </c>
      <c r="B239" s="46" t="str">
        <f>MID(Tabelle1[[#This Row],[Artikel'#]],5,3)</f>
        <v>139</v>
      </c>
      <c r="C239" s="48" t="str">
        <f>RIGHT(Tabelle1[[#This Row],[Artikel'#]],3)</f>
        <v>469</v>
      </c>
      <c r="D239" s="46">
        <f>IF(Tabelle1[[#This Row],[Winkel2]]=select!$A$2,1,0)</f>
        <v>0</v>
      </c>
      <c r="E2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39" s="46">
        <f>IF(select!$E$16=IF(Tabelle1[[#This Row],[mit Dämpfung]]=1,1,IF(Tabelle1[[#This Row],[ohne Dämpfung]]=1,2,IF(Tabelle1[[#This Row],[ohne Feder]]=1,3,0))),1,0)</f>
        <v>0</v>
      </c>
      <c r="G239" s="46">
        <f>IF(Tabelle1[[#This Row],[Links]]=select!$I$2,1,0)</f>
        <v>1</v>
      </c>
      <c r="H239" s="46">
        <f>IF(IF(Tabelle1[[#This Row],[Anschrauben]]=1,1,IF(Tabelle1[[#This Row],[Einpressen]]=1,2,IF(Tabelle1[[#This Row],[Werkzeuglos]]=1,3,0)))=select!$E$7,1,0)</f>
        <v>0</v>
      </c>
      <c r="I239" s="46">
        <f ca="1">IF(Tabelle1[[#This Row],[Winkel]]+Tabelle1[[#This Row],[Kröpfung]]+Tabelle1[[#This Row],[Däpfung]]+Tabelle1[[#This Row],[Bohrbild]]+Tabelle1[[#This Row],[Scharnierbefestigung]]=5,1,0)</f>
        <v>0</v>
      </c>
      <c r="J239" t="str">
        <f ca="1">Sprache!$A$58</f>
        <v>TIOMOS hinge TT-Impresso</v>
      </c>
      <c r="K239" t="s">
        <v>129</v>
      </c>
      <c r="L239" t="str">
        <f ca="1">Sprache!$A$62</f>
        <v>TIOMOS Impresso hinges</v>
      </c>
      <c r="M239">
        <v>19</v>
      </c>
      <c r="N239" t="s">
        <v>3</v>
      </c>
      <c r="O239">
        <v>95</v>
      </c>
      <c r="P239">
        <v>0</v>
      </c>
      <c r="Q239">
        <v>0</v>
      </c>
      <c r="R239">
        <v>1</v>
      </c>
      <c r="S239">
        <v>0</v>
      </c>
      <c r="T239">
        <v>0</v>
      </c>
      <c r="U239">
        <v>1</v>
      </c>
      <c r="V239" s="14" t="s">
        <v>235</v>
      </c>
    </row>
    <row r="240" spans="1:22" ht="14.25" customHeight="1" x14ac:dyDescent="0.25">
      <c r="A240" s="48" t="str">
        <f>LEFT(Tabelle1[[#This Row],[Artikel'#]],4)</f>
        <v>F035</v>
      </c>
      <c r="B240" s="46" t="str">
        <f>MID(Tabelle1[[#This Row],[Artikel'#]],5,3)</f>
        <v>139</v>
      </c>
      <c r="C240" s="48" t="str">
        <f>RIGHT(Tabelle1[[#This Row],[Artikel'#]],3)</f>
        <v>527</v>
      </c>
      <c r="D240" s="46">
        <f>IF(Tabelle1[[#This Row],[Winkel2]]=select!$A$2,1,0)</f>
        <v>1</v>
      </c>
      <c r="E2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0" s="46">
        <f>IF(select!$E$16=IF(Tabelle1[[#This Row],[mit Dämpfung]]=1,1,IF(Tabelle1[[#This Row],[ohne Dämpfung]]=1,2,IF(Tabelle1[[#This Row],[ohne Feder]]=1,3,0))),1,0)</f>
        <v>0</v>
      </c>
      <c r="G240" s="46">
        <f>IF(Tabelle1[[#This Row],[Links]]=select!$I$2,1,0)</f>
        <v>0</v>
      </c>
      <c r="H240" s="46">
        <f>IF(IF(Tabelle1[[#This Row],[Anschrauben]]=1,1,IF(Tabelle1[[#This Row],[Einpressen]]=1,2,IF(Tabelle1[[#This Row],[Werkzeuglos]]=1,3,0)))=select!$E$7,1,0)</f>
        <v>0</v>
      </c>
      <c r="I240" s="46">
        <f ca="1">IF(Tabelle1[[#This Row],[Winkel]]+Tabelle1[[#This Row],[Kröpfung]]+Tabelle1[[#This Row],[Däpfung]]+Tabelle1[[#This Row],[Bohrbild]]+Tabelle1[[#This Row],[Scharnierbefestigung]]=5,1,0)</f>
        <v>0</v>
      </c>
      <c r="J240" t="str">
        <f ca="1">Sprache!$A$58</f>
        <v>TIOMOS hinge TT-Impresso</v>
      </c>
      <c r="K240" t="s">
        <v>131</v>
      </c>
      <c r="L240" t="str">
        <f ca="1">Sprache!$A$62</f>
        <v>TIOMOS Impresso hinges</v>
      </c>
      <c r="M240">
        <v>0</v>
      </c>
      <c r="N240" t="s">
        <v>14</v>
      </c>
      <c r="O240">
        <v>110</v>
      </c>
      <c r="P240">
        <v>0</v>
      </c>
      <c r="Q240">
        <v>0</v>
      </c>
      <c r="R240">
        <v>1</v>
      </c>
      <c r="S240">
        <v>0</v>
      </c>
      <c r="T240">
        <v>0</v>
      </c>
      <c r="U240">
        <v>1</v>
      </c>
      <c r="V240" s="14" t="s">
        <v>236</v>
      </c>
    </row>
    <row r="241" spans="1:22" ht="14.25" customHeight="1" x14ac:dyDescent="0.25">
      <c r="A241" s="48" t="str">
        <f>LEFT(Tabelle1[[#This Row],[Artikel'#]],4)</f>
        <v>F035</v>
      </c>
      <c r="B241" s="46" t="str">
        <f>MID(Tabelle1[[#This Row],[Artikel'#]],5,3)</f>
        <v>139</v>
      </c>
      <c r="C241" s="48" t="str">
        <f>RIGHT(Tabelle1[[#This Row],[Artikel'#]],3)</f>
        <v>527</v>
      </c>
      <c r="D241" s="46">
        <f>IF(Tabelle1[[#This Row],[Winkel2]]=select!$A$2,1,0)</f>
        <v>1</v>
      </c>
      <c r="E2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1" s="46">
        <f>IF(select!$E$16=IF(Tabelle1[[#This Row],[mit Dämpfung]]=1,1,IF(Tabelle1[[#This Row],[ohne Dämpfung]]=1,2,IF(Tabelle1[[#This Row],[ohne Feder]]=1,3,0))),1,0)</f>
        <v>0</v>
      </c>
      <c r="G241" s="46">
        <f>IF(Tabelle1[[#This Row],[Links]]=select!$I$2,1,0)</f>
        <v>0</v>
      </c>
      <c r="H241" s="46">
        <f>IF(IF(Tabelle1[[#This Row],[Anschrauben]]=1,1,IF(Tabelle1[[#This Row],[Einpressen]]=1,2,IF(Tabelle1[[#This Row],[Werkzeuglos]]=1,3,0)))=select!$E$7,1,0)</f>
        <v>0</v>
      </c>
      <c r="I241" s="46">
        <f ca="1">IF(Tabelle1[[#This Row],[Winkel]]+Tabelle1[[#This Row],[Kröpfung]]+Tabelle1[[#This Row],[Däpfung]]+Tabelle1[[#This Row],[Bohrbild]]+Tabelle1[[#This Row],[Scharnierbefestigung]]=5,1,0)</f>
        <v>0</v>
      </c>
      <c r="J241" t="str">
        <f ca="1">Sprache!$A$58</f>
        <v>TIOMOS hinge TT-Impresso</v>
      </c>
      <c r="K241" t="s">
        <v>131</v>
      </c>
      <c r="L241" t="str">
        <f ca="1">Sprache!$A$62</f>
        <v>TIOMOS Impresso hinges</v>
      </c>
      <c r="M241">
        <v>0</v>
      </c>
      <c r="N241" t="s">
        <v>15</v>
      </c>
      <c r="O241">
        <v>110</v>
      </c>
      <c r="P241">
        <v>0</v>
      </c>
      <c r="Q241">
        <v>0</v>
      </c>
      <c r="R241">
        <v>1</v>
      </c>
      <c r="S241">
        <v>0</v>
      </c>
      <c r="T241">
        <v>0</v>
      </c>
      <c r="U241">
        <v>1</v>
      </c>
      <c r="V241" s="14" t="s">
        <v>236</v>
      </c>
    </row>
    <row r="242" spans="1:22" ht="14.25" customHeight="1" x14ac:dyDescent="0.25">
      <c r="A242" s="48" t="str">
        <f>LEFT(Tabelle1[[#This Row],[Artikel'#]],4)</f>
        <v>F035</v>
      </c>
      <c r="B242" s="46" t="str">
        <f>MID(Tabelle1[[#This Row],[Artikel'#]],5,3)</f>
        <v>139</v>
      </c>
      <c r="C242" s="48" t="str">
        <f>RIGHT(Tabelle1[[#This Row],[Artikel'#]],3)</f>
        <v>528</v>
      </c>
      <c r="D242" s="46">
        <f>IF(Tabelle1[[#This Row],[Winkel2]]=select!$A$2,1,0)</f>
        <v>1</v>
      </c>
      <c r="E2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2" s="46">
        <f>IF(select!$E$16=IF(Tabelle1[[#This Row],[mit Dämpfung]]=1,1,IF(Tabelle1[[#This Row],[ohne Dämpfung]]=1,2,IF(Tabelle1[[#This Row],[ohne Feder]]=1,3,0))),1,0)</f>
        <v>0</v>
      </c>
      <c r="G242" s="46">
        <f>IF(Tabelle1[[#This Row],[Links]]=select!$I$2,1,0)</f>
        <v>0</v>
      </c>
      <c r="H242" s="46">
        <f>IF(IF(Tabelle1[[#This Row],[Anschrauben]]=1,1,IF(Tabelle1[[#This Row],[Einpressen]]=1,2,IF(Tabelle1[[#This Row],[Werkzeuglos]]=1,3,0)))=select!$E$7,1,0)</f>
        <v>0</v>
      </c>
      <c r="I242" s="46">
        <f ca="1">IF(Tabelle1[[#This Row],[Winkel]]+Tabelle1[[#This Row],[Kröpfung]]+Tabelle1[[#This Row],[Däpfung]]+Tabelle1[[#This Row],[Bohrbild]]+Tabelle1[[#This Row],[Scharnierbefestigung]]=5,1,0)</f>
        <v>0</v>
      </c>
      <c r="J242" t="str">
        <f ca="1">Sprache!$A$58</f>
        <v>TIOMOS hinge TT-Impresso</v>
      </c>
      <c r="K242" t="s">
        <v>133</v>
      </c>
      <c r="L242" t="str">
        <f ca="1">Sprache!$A$62</f>
        <v>TIOMOS Impresso hinges</v>
      </c>
      <c r="M242">
        <v>3</v>
      </c>
      <c r="N242" t="s">
        <v>14</v>
      </c>
      <c r="O242">
        <v>110</v>
      </c>
      <c r="P242">
        <v>0</v>
      </c>
      <c r="Q242">
        <v>0</v>
      </c>
      <c r="R242">
        <v>1</v>
      </c>
      <c r="S242">
        <v>0</v>
      </c>
      <c r="T242">
        <v>0</v>
      </c>
      <c r="U242">
        <v>1</v>
      </c>
      <c r="V242" s="14" t="s">
        <v>237</v>
      </c>
    </row>
    <row r="243" spans="1:22" ht="14.25" customHeight="1" x14ac:dyDescent="0.25">
      <c r="A243" s="48" t="str">
        <f>LEFT(Tabelle1[[#This Row],[Artikel'#]],4)</f>
        <v>F035</v>
      </c>
      <c r="B243" s="46" t="str">
        <f>MID(Tabelle1[[#This Row],[Artikel'#]],5,3)</f>
        <v>139</v>
      </c>
      <c r="C243" s="48" t="str">
        <f>RIGHT(Tabelle1[[#This Row],[Artikel'#]],3)</f>
        <v>528</v>
      </c>
      <c r="D243" s="46">
        <f>IF(Tabelle1[[#This Row],[Winkel2]]=select!$A$2,1,0)</f>
        <v>1</v>
      </c>
      <c r="E2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3" s="46">
        <f>IF(select!$E$16=IF(Tabelle1[[#This Row],[mit Dämpfung]]=1,1,IF(Tabelle1[[#This Row],[ohne Dämpfung]]=1,2,IF(Tabelle1[[#This Row],[ohne Feder]]=1,3,0))),1,0)</f>
        <v>0</v>
      </c>
      <c r="G243" s="46">
        <f>IF(Tabelle1[[#This Row],[Links]]=select!$I$2,1,0)</f>
        <v>0</v>
      </c>
      <c r="H243" s="46">
        <f>IF(IF(Tabelle1[[#This Row],[Anschrauben]]=1,1,IF(Tabelle1[[#This Row],[Einpressen]]=1,2,IF(Tabelle1[[#This Row],[Werkzeuglos]]=1,3,0)))=select!$E$7,1,0)</f>
        <v>0</v>
      </c>
      <c r="I243" s="46">
        <f ca="1">IF(Tabelle1[[#This Row],[Winkel]]+Tabelle1[[#This Row],[Kröpfung]]+Tabelle1[[#This Row],[Däpfung]]+Tabelle1[[#This Row],[Bohrbild]]+Tabelle1[[#This Row],[Scharnierbefestigung]]=5,1,0)</f>
        <v>0</v>
      </c>
      <c r="J243" t="str">
        <f ca="1">Sprache!$A$58</f>
        <v>TIOMOS hinge TT-Impresso</v>
      </c>
      <c r="K243" t="s">
        <v>133</v>
      </c>
      <c r="L243" t="str">
        <f ca="1">Sprache!$A$62</f>
        <v>TIOMOS Impresso hinges</v>
      </c>
      <c r="M243">
        <v>3</v>
      </c>
      <c r="N243" t="s">
        <v>15</v>
      </c>
      <c r="O243">
        <v>110</v>
      </c>
      <c r="P243">
        <v>0</v>
      </c>
      <c r="Q243">
        <v>0</v>
      </c>
      <c r="R243">
        <v>1</v>
      </c>
      <c r="S243">
        <v>0</v>
      </c>
      <c r="T243">
        <v>0</v>
      </c>
      <c r="U243">
        <v>1</v>
      </c>
      <c r="V243" s="14" t="s">
        <v>237</v>
      </c>
    </row>
    <row r="244" spans="1:22" ht="14.25" customHeight="1" x14ac:dyDescent="0.25">
      <c r="A244" s="48" t="str">
        <f>LEFT(Tabelle1[[#This Row],[Artikel'#]],4)</f>
        <v>F035</v>
      </c>
      <c r="B244" s="46" t="str">
        <f>MID(Tabelle1[[#This Row],[Artikel'#]],5,3)</f>
        <v>139</v>
      </c>
      <c r="C244" s="48" t="str">
        <f>RIGHT(Tabelle1[[#This Row],[Artikel'#]],3)</f>
        <v>529</v>
      </c>
      <c r="D244" s="46">
        <f>IF(Tabelle1[[#This Row],[Winkel2]]=select!$A$2,1,0)</f>
        <v>1</v>
      </c>
      <c r="E2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44" s="46">
        <f>IF(select!$E$16=IF(Tabelle1[[#This Row],[mit Dämpfung]]=1,1,IF(Tabelle1[[#This Row],[ohne Dämpfung]]=1,2,IF(Tabelle1[[#This Row],[ohne Feder]]=1,3,0))),1,0)</f>
        <v>0</v>
      </c>
      <c r="G244" s="46">
        <f>IF(Tabelle1[[#This Row],[Links]]=select!$I$2,1,0)</f>
        <v>0</v>
      </c>
      <c r="H244" s="46">
        <f>IF(IF(Tabelle1[[#This Row],[Anschrauben]]=1,1,IF(Tabelle1[[#This Row],[Einpressen]]=1,2,IF(Tabelle1[[#This Row],[Werkzeuglos]]=1,3,0)))=select!$E$7,1,0)</f>
        <v>0</v>
      </c>
      <c r="I244" s="46">
        <f ca="1">IF(Tabelle1[[#This Row],[Winkel]]+Tabelle1[[#This Row],[Kröpfung]]+Tabelle1[[#This Row],[Däpfung]]+Tabelle1[[#This Row],[Bohrbild]]+Tabelle1[[#This Row],[Scharnierbefestigung]]=5,1,0)</f>
        <v>0</v>
      </c>
      <c r="J244" t="str">
        <f ca="1">Sprache!$A$58</f>
        <v>TIOMOS hinge TT-Impresso</v>
      </c>
      <c r="K244" t="s">
        <v>135</v>
      </c>
      <c r="L244" t="str">
        <f ca="1">Sprache!$A$62</f>
        <v>TIOMOS Impresso hinges</v>
      </c>
      <c r="M244">
        <v>9.5</v>
      </c>
      <c r="N244" t="s">
        <v>14</v>
      </c>
      <c r="O244">
        <v>110</v>
      </c>
      <c r="P244">
        <v>0</v>
      </c>
      <c r="Q244">
        <v>0</v>
      </c>
      <c r="R244">
        <v>1</v>
      </c>
      <c r="S244">
        <v>0</v>
      </c>
      <c r="T244">
        <v>0</v>
      </c>
      <c r="U244">
        <v>1</v>
      </c>
      <c r="V244" s="14" t="s">
        <v>238</v>
      </c>
    </row>
    <row r="245" spans="1:22" ht="14.25" customHeight="1" x14ac:dyDescent="0.25">
      <c r="A245" s="48" t="str">
        <f>LEFT(Tabelle1[[#This Row],[Artikel'#]],4)</f>
        <v>F035</v>
      </c>
      <c r="B245" s="46" t="str">
        <f>MID(Tabelle1[[#This Row],[Artikel'#]],5,3)</f>
        <v>139</v>
      </c>
      <c r="C245" s="48" t="str">
        <f>RIGHT(Tabelle1[[#This Row],[Artikel'#]],3)</f>
        <v>529</v>
      </c>
      <c r="D245" s="46">
        <f>IF(Tabelle1[[#This Row],[Winkel2]]=select!$A$2,1,0)</f>
        <v>1</v>
      </c>
      <c r="E2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45" s="46">
        <f>IF(select!$E$16=IF(Tabelle1[[#This Row],[mit Dämpfung]]=1,1,IF(Tabelle1[[#This Row],[ohne Dämpfung]]=1,2,IF(Tabelle1[[#This Row],[ohne Feder]]=1,3,0))),1,0)</f>
        <v>0</v>
      </c>
      <c r="G245" s="46">
        <f>IF(Tabelle1[[#This Row],[Links]]=select!$I$2,1,0)</f>
        <v>0</v>
      </c>
      <c r="H245" s="46">
        <f>IF(IF(Tabelle1[[#This Row],[Anschrauben]]=1,1,IF(Tabelle1[[#This Row],[Einpressen]]=1,2,IF(Tabelle1[[#This Row],[Werkzeuglos]]=1,3,0)))=select!$E$7,1,0)</f>
        <v>0</v>
      </c>
      <c r="I245" s="46">
        <f ca="1">IF(Tabelle1[[#This Row],[Winkel]]+Tabelle1[[#This Row],[Kröpfung]]+Tabelle1[[#This Row],[Däpfung]]+Tabelle1[[#This Row],[Bohrbild]]+Tabelle1[[#This Row],[Scharnierbefestigung]]=5,1,0)</f>
        <v>0</v>
      </c>
      <c r="J245" t="str">
        <f ca="1">Sprache!$A$58</f>
        <v>TIOMOS hinge TT-Impresso</v>
      </c>
      <c r="K245" t="s">
        <v>135</v>
      </c>
      <c r="L245" t="str">
        <f ca="1">Sprache!$A$62</f>
        <v>TIOMOS Impresso hinges</v>
      </c>
      <c r="M245">
        <v>9.5</v>
      </c>
      <c r="N245" t="s">
        <v>15</v>
      </c>
      <c r="O245">
        <v>110</v>
      </c>
      <c r="P245">
        <v>0</v>
      </c>
      <c r="Q245">
        <v>0</v>
      </c>
      <c r="R245">
        <v>1</v>
      </c>
      <c r="S245">
        <v>0</v>
      </c>
      <c r="T245">
        <v>0</v>
      </c>
      <c r="U245">
        <v>1</v>
      </c>
      <c r="V245" s="14" t="s">
        <v>238</v>
      </c>
    </row>
    <row r="246" spans="1:22" ht="14.25" customHeight="1" x14ac:dyDescent="0.25">
      <c r="A246" s="48" t="str">
        <f>LEFT(Tabelle1[[#This Row],[Artikel'#]],4)</f>
        <v>F035</v>
      </c>
      <c r="B246" s="46" t="str">
        <f>MID(Tabelle1[[#This Row],[Artikel'#]],5,3)</f>
        <v>139</v>
      </c>
      <c r="C246" s="48" t="str">
        <f>RIGHT(Tabelle1[[#This Row],[Artikel'#]],3)</f>
        <v>530</v>
      </c>
      <c r="D246" s="46">
        <f>IF(Tabelle1[[#This Row],[Winkel2]]=select!$A$2,1,0)</f>
        <v>1</v>
      </c>
      <c r="E2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6" s="46">
        <f>IF(select!$E$16=IF(Tabelle1[[#This Row],[mit Dämpfung]]=1,1,IF(Tabelle1[[#This Row],[ohne Dämpfung]]=1,2,IF(Tabelle1[[#This Row],[ohne Feder]]=1,3,0))),1,0)</f>
        <v>0</v>
      </c>
      <c r="G246" s="46">
        <f>IF(Tabelle1[[#This Row],[Links]]=select!$I$2,1,0)</f>
        <v>0</v>
      </c>
      <c r="H246" s="46">
        <f>IF(IF(Tabelle1[[#This Row],[Anschrauben]]=1,1,IF(Tabelle1[[#This Row],[Einpressen]]=1,2,IF(Tabelle1[[#This Row],[Werkzeuglos]]=1,3,0)))=select!$E$7,1,0)</f>
        <v>0</v>
      </c>
      <c r="I246" s="46">
        <f ca="1">IF(Tabelle1[[#This Row],[Winkel]]+Tabelle1[[#This Row],[Kröpfung]]+Tabelle1[[#This Row],[Däpfung]]+Tabelle1[[#This Row],[Bohrbild]]+Tabelle1[[#This Row],[Scharnierbefestigung]]=5,1,0)</f>
        <v>0</v>
      </c>
      <c r="J246" t="str">
        <f ca="1">Sprache!$A$58</f>
        <v>TIOMOS hinge TT-Impresso</v>
      </c>
      <c r="K246" t="s">
        <v>137</v>
      </c>
      <c r="L246" t="str">
        <f ca="1">Sprache!$A$62</f>
        <v>TIOMOS Impresso hinges</v>
      </c>
      <c r="M246">
        <v>19</v>
      </c>
      <c r="N246" t="s">
        <v>14</v>
      </c>
      <c r="O246">
        <v>110</v>
      </c>
      <c r="P246">
        <v>0</v>
      </c>
      <c r="Q246">
        <v>0</v>
      </c>
      <c r="R246">
        <v>1</v>
      </c>
      <c r="S246">
        <v>0</v>
      </c>
      <c r="T246">
        <v>0</v>
      </c>
      <c r="U246">
        <v>1</v>
      </c>
      <c r="V246" s="14" t="s">
        <v>239</v>
      </c>
    </row>
    <row r="247" spans="1:22" ht="14.25" customHeight="1" x14ac:dyDescent="0.25">
      <c r="A247" s="48" t="str">
        <f>LEFT(Tabelle1[[#This Row],[Artikel'#]],4)</f>
        <v>F035</v>
      </c>
      <c r="B247" s="46" t="str">
        <f>MID(Tabelle1[[#This Row],[Artikel'#]],5,3)</f>
        <v>139</v>
      </c>
      <c r="C247" s="48" t="str">
        <f>RIGHT(Tabelle1[[#This Row],[Artikel'#]],3)</f>
        <v>530</v>
      </c>
      <c r="D247" s="46">
        <f>IF(Tabelle1[[#This Row],[Winkel2]]=select!$A$2,1,0)</f>
        <v>1</v>
      </c>
      <c r="E2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7" s="46">
        <f>IF(select!$E$16=IF(Tabelle1[[#This Row],[mit Dämpfung]]=1,1,IF(Tabelle1[[#This Row],[ohne Dämpfung]]=1,2,IF(Tabelle1[[#This Row],[ohne Feder]]=1,3,0))),1,0)</f>
        <v>0</v>
      </c>
      <c r="G247" s="46">
        <f>IF(Tabelle1[[#This Row],[Links]]=select!$I$2,1,0)</f>
        <v>0</v>
      </c>
      <c r="H247" s="46">
        <f>IF(IF(Tabelle1[[#This Row],[Anschrauben]]=1,1,IF(Tabelle1[[#This Row],[Einpressen]]=1,2,IF(Tabelle1[[#This Row],[Werkzeuglos]]=1,3,0)))=select!$E$7,1,0)</f>
        <v>0</v>
      </c>
      <c r="I247" s="46">
        <f ca="1">IF(Tabelle1[[#This Row],[Winkel]]+Tabelle1[[#This Row],[Kröpfung]]+Tabelle1[[#This Row],[Däpfung]]+Tabelle1[[#This Row],[Bohrbild]]+Tabelle1[[#This Row],[Scharnierbefestigung]]=5,1,0)</f>
        <v>0</v>
      </c>
      <c r="J247" t="str">
        <f ca="1">Sprache!$A$58</f>
        <v>TIOMOS hinge TT-Impresso</v>
      </c>
      <c r="K247" t="s">
        <v>137</v>
      </c>
      <c r="L247" t="str">
        <f ca="1">Sprache!$A$62</f>
        <v>TIOMOS Impresso hinges</v>
      </c>
      <c r="M247">
        <v>19</v>
      </c>
      <c r="N247" t="s">
        <v>15</v>
      </c>
      <c r="O247">
        <v>110</v>
      </c>
      <c r="P247">
        <v>0</v>
      </c>
      <c r="Q247">
        <v>0</v>
      </c>
      <c r="R247">
        <v>1</v>
      </c>
      <c r="S247">
        <v>0</v>
      </c>
      <c r="T247">
        <v>0</v>
      </c>
      <c r="U247">
        <v>1</v>
      </c>
      <c r="V247" s="14" t="s">
        <v>239</v>
      </c>
    </row>
    <row r="248" spans="1:22" ht="14.25" customHeight="1" x14ac:dyDescent="0.25">
      <c r="A248" s="48" t="str">
        <f>LEFT(Tabelle1[[#This Row],[Artikel'#]],4)</f>
        <v>F035</v>
      </c>
      <c r="B248" s="46" t="str">
        <f>MID(Tabelle1[[#This Row],[Artikel'#]],5,3)</f>
        <v>139</v>
      </c>
      <c r="C248" s="48" t="str">
        <f>RIGHT(Tabelle1[[#This Row],[Artikel'#]],3)</f>
        <v>541</v>
      </c>
      <c r="D248" s="46">
        <f>IF(Tabelle1[[#This Row],[Winkel2]]=select!$A$2,1,0)</f>
        <v>0</v>
      </c>
      <c r="E2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8" s="46">
        <f>IF(select!$E$16=IF(Tabelle1[[#This Row],[mit Dämpfung]]=1,1,IF(Tabelle1[[#This Row],[ohne Dämpfung]]=1,2,IF(Tabelle1[[#This Row],[ohne Feder]]=1,3,0))),1,0)</f>
        <v>0</v>
      </c>
      <c r="G248" s="46">
        <f>IF(Tabelle1[[#This Row],[Links]]=select!$I$2,1,0)</f>
        <v>0</v>
      </c>
      <c r="H248" s="46">
        <f>IF(IF(Tabelle1[[#This Row],[Anschrauben]]=1,1,IF(Tabelle1[[#This Row],[Einpressen]]=1,2,IF(Tabelle1[[#This Row],[Werkzeuglos]]=1,3,0)))=select!$E$7,1,0)</f>
        <v>0</v>
      </c>
      <c r="I248" s="46">
        <f ca="1">IF(Tabelle1[[#This Row],[Winkel]]+Tabelle1[[#This Row],[Kröpfung]]+Tabelle1[[#This Row],[Däpfung]]+Tabelle1[[#This Row],[Bohrbild]]+Tabelle1[[#This Row],[Scharnierbefestigung]]=5,1,0)</f>
        <v>0</v>
      </c>
      <c r="J248" t="str">
        <f ca="1">Sprache!$A$58</f>
        <v>TIOMOS hinge TT-Impresso</v>
      </c>
      <c r="K248" t="s">
        <v>139</v>
      </c>
      <c r="L248" t="str">
        <f ca="1">Sprache!$A$62</f>
        <v>TIOMOS Impresso hinges</v>
      </c>
      <c r="M248">
        <v>0</v>
      </c>
      <c r="N248" t="s">
        <v>14</v>
      </c>
      <c r="O248">
        <v>120</v>
      </c>
      <c r="P248">
        <v>0</v>
      </c>
      <c r="Q248">
        <v>0</v>
      </c>
      <c r="R248">
        <v>1</v>
      </c>
      <c r="S248">
        <v>0</v>
      </c>
      <c r="T248">
        <v>0</v>
      </c>
      <c r="U248">
        <v>1</v>
      </c>
      <c r="V248" s="14" t="s">
        <v>240</v>
      </c>
    </row>
    <row r="249" spans="1:22" ht="14.25" customHeight="1" x14ac:dyDescent="0.25">
      <c r="A249" s="48" t="str">
        <f>LEFT(Tabelle1[[#This Row],[Artikel'#]],4)</f>
        <v>F035</v>
      </c>
      <c r="B249" s="46" t="str">
        <f>MID(Tabelle1[[#This Row],[Artikel'#]],5,3)</f>
        <v>139</v>
      </c>
      <c r="C249" s="48" t="str">
        <f>RIGHT(Tabelle1[[#This Row],[Artikel'#]],3)</f>
        <v>541</v>
      </c>
      <c r="D249" s="46">
        <f>IF(Tabelle1[[#This Row],[Winkel2]]=select!$A$2,1,0)</f>
        <v>0</v>
      </c>
      <c r="E2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49" s="46">
        <f>IF(select!$E$16=IF(Tabelle1[[#This Row],[mit Dämpfung]]=1,1,IF(Tabelle1[[#This Row],[ohne Dämpfung]]=1,2,IF(Tabelle1[[#This Row],[ohne Feder]]=1,3,0))),1,0)</f>
        <v>0</v>
      </c>
      <c r="G249" s="46">
        <f>IF(Tabelle1[[#This Row],[Links]]=select!$I$2,1,0)</f>
        <v>0</v>
      </c>
      <c r="H249" s="46">
        <f>IF(IF(Tabelle1[[#This Row],[Anschrauben]]=1,1,IF(Tabelle1[[#This Row],[Einpressen]]=1,2,IF(Tabelle1[[#This Row],[Werkzeuglos]]=1,3,0)))=select!$E$7,1,0)</f>
        <v>0</v>
      </c>
      <c r="I249" s="46">
        <f ca="1">IF(Tabelle1[[#This Row],[Winkel]]+Tabelle1[[#This Row],[Kröpfung]]+Tabelle1[[#This Row],[Däpfung]]+Tabelle1[[#This Row],[Bohrbild]]+Tabelle1[[#This Row],[Scharnierbefestigung]]=5,1,0)</f>
        <v>0</v>
      </c>
      <c r="J249" t="str">
        <f ca="1">Sprache!$A$58</f>
        <v>TIOMOS hinge TT-Impresso</v>
      </c>
      <c r="K249" t="s">
        <v>139</v>
      </c>
      <c r="L249" t="str">
        <f ca="1">Sprache!$A$62</f>
        <v>TIOMOS Impresso hinges</v>
      </c>
      <c r="M249">
        <v>0</v>
      </c>
      <c r="N249" t="s">
        <v>15</v>
      </c>
      <c r="O249">
        <v>120</v>
      </c>
      <c r="P249">
        <v>0</v>
      </c>
      <c r="Q249">
        <v>0</v>
      </c>
      <c r="R249">
        <v>1</v>
      </c>
      <c r="S249">
        <v>0</v>
      </c>
      <c r="T249">
        <v>0</v>
      </c>
      <c r="U249">
        <v>1</v>
      </c>
      <c r="V249" s="14" t="s">
        <v>240</v>
      </c>
    </row>
    <row r="250" spans="1:22" ht="14.25" customHeight="1" x14ac:dyDescent="0.25">
      <c r="A250" s="48" t="str">
        <f>LEFT(Tabelle1[[#This Row],[Artikel'#]],4)</f>
        <v>F035</v>
      </c>
      <c r="B250" s="46" t="str">
        <f>MID(Tabelle1[[#This Row],[Artikel'#]],5,3)</f>
        <v>139</v>
      </c>
      <c r="C250" s="48" t="str">
        <f>RIGHT(Tabelle1[[#This Row],[Artikel'#]],3)</f>
        <v>542</v>
      </c>
      <c r="D250" s="46">
        <f>IF(Tabelle1[[#This Row],[Winkel2]]=select!$A$2,1,0)</f>
        <v>0</v>
      </c>
      <c r="E2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0" s="46">
        <f>IF(select!$E$16=IF(Tabelle1[[#This Row],[mit Dämpfung]]=1,1,IF(Tabelle1[[#This Row],[ohne Dämpfung]]=1,2,IF(Tabelle1[[#This Row],[ohne Feder]]=1,3,0))),1,0)</f>
        <v>0</v>
      </c>
      <c r="G250" s="46">
        <f>IF(Tabelle1[[#This Row],[Links]]=select!$I$2,1,0)</f>
        <v>0</v>
      </c>
      <c r="H250" s="46">
        <f>IF(IF(Tabelle1[[#This Row],[Anschrauben]]=1,1,IF(Tabelle1[[#This Row],[Einpressen]]=1,2,IF(Tabelle1[[#This Row],[Werkzeuglos]]=1,3,0)))=select!$E$7,1,0)</f>
        <v>0</v>
      </c>
      <c r="I250" s="46">
        <f ca="1">IF(Tabelle1[[#This Row],[Winkel]]+Tabelle1[[#This Row],[Kröpfung]]+Tabelle1[[#This Row],[Däpfung]]+Tabelle1[[#This Row],[Bohrbild]]+Tabelle1[[#This Row],[Scharnierbefestigung]]=5,1,0)</f>
        <v>0</v>
      </c>
      <c r="J250" t="str">
        <f ca="1">Sprache!$A$58</f>
        <v>TIOMOS hinge TT-Impresso</v>
      </c>
      <c r="K250" t="s">
        <v>141</v>
      </c>
      <c r="L250" t="str">
        <f ca="1">Sprache!$A$62</f>
        <v>TIOMOS Impresso hinges</v>
      </c>
      <c r="M250">
        <v>3</v>
      </c>
      <c r="N250" t="s">
        <v>14</v>
      </c>
      <c r="O250">
        <v>120</v>
      </c>
      <c r="P250">
        <v>0</v>
      </c>
      <c r="Q250">
        <v>0</v>
      </c>
      <c r="R250">
        <v>1</v>
      </c>
      <c r="S250">
        <v>0</v>
      </c>
      <c r="T250">
        <v>0</v>
      </c>
      <c r="U250">
        <v>1</v>
      </c>
      <c r="V250" s="14" t="s">
        <v>241</v>
      </c>
    </row>
    <row r="251" spans="1:22" ht="14.25" customHeight="1" x14ac:dyDescent="0.25">
      <c r="A251" s="48" t="str">
        <f>LEFT(Tabelle1[[#This Row],[Artikel'#]],4)</f>
        <v>F035</v>
      </c>
      <c r="B251" s="46" t="str">
        <f>MID(Tabelle1[[#This Row],[Artikel'#]],5,3)</f>
        <v>139</v>
      </c>
      <c r="C251" s="48" t="str">
        <f>RIGHT(Tabelle1[[#This Row],[Artikel'#]],3)</f>
        <v>542</v>
      </c>
      <c r="D251" s="46">
        <f>IF(Tabelle1[[#This Row],[Winkel2]]=select!$A$2,1,0)</f>
        <v>0</v>
      </c>
      <c r="E2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1" s="46">
        <f>IF(select!$E$16=IF(Tabelle1[[#This Row],[mit Dämpfung]]=1,1,IF(Tabelle1[[#This Row],[ohne Dämpfung]]=1,2,IF(Tabelle1[[#This Row],[ohne Feder]]=1,3,0))),1,0)</f>
        <v>0</v>
      </c>
      <c r="G251" s="46">
        <f>IF(Tabelle1[[#This Row],[Links]]=select!$I$2,1,0)</f>
        <v>0</v>
      </c>
      <c r="H251" s="46">
        <f>IF(IF(Tabelle1[[#This Row],[Anschrauben]]=1,1,IF(Tabelle1[[#This Row],[Einpressen]]=1,2,IF(Tabelle1[[#This Row],[Werkzeuglos]]=1,3,0)))=select!$E$7,1,0)</f>
        <v>0</v>
      </c>
      <c r="I251" s="46">
        <f ca="1">IF(Tabelle1[[#This Row],[Winkel]]+Tabelle1[[#This Row],[Kröpfung]]+Tabelle1[[#This Row],[Däpfung]]+Tabelle1[[#This Row],[Bohrbild]]+Tabelle1[[#This Row],[Scharnierbefestigung]]=5,1,0)</f>
        <v>0</v>
      </c>
      <c r="J251" t="str">
        <f ca="1">Sprache!$A$58</f>
        <v>TIOMOS hinge TT-Impresso</v>
      </c>
      <c r="K251" t="s">
        <v>141</v>
      </c>
      <c r="L251" t="str">
        <f ca="1">Sprache!$A$62</f>
        <v>TIOMOS Impresso hinges</v>
      </c>
      <c r="M251">
        <v>3</v>
      </c>
      <c r="N251" t="s">
        <v>15</v>
      </c>
      <c r="O251">
        <v>120</v>
      </c>
      <c r="P251">
        <v>0</v>
      </c>
      <c r="Q251">
        <v>0</v>
      </c>
      <c r="R251">
        <v>1</v>
      </c>
      <c r="S251">
        <v>0</v>
      </c>
      <c r="T251">
        <v>0</v>
      </c>
      <c r="U251">
        <v>1</v>
      </c>
      <c r="V251" s="14" t="s">
        <v>241</v>
      </c>
    </row>
    <row r="252" spans="1:22" ht="14.25" customHeight="1" x14ac:dyDescent="0.25">
      <c r="A252" s="48" t="str">
        <f>LEFT(Tabelle1[[#This Row],[Artikel'#]],4)</f>
        <v>F035</v>
      </c>
      <c r="B252" s="46" t="str">
        <f>MID(Tabelle1[[#This Row],[Artikel'#]],5,3)</f>
        <v>139</v>
      </c>
      <c r="C252" s="48" t="str">
        <f>RIGHT(Tabelle1[[#This Row],[Artikel'#]],3)</f>
        <v>543</v>
      </c>
      <c r="D252" s="46">
        <f>IF(Tabelle1[[#This Row],[Winkel2]]=select!$A$2,1,0)</f>
        <v>0</v>
      </c>
      <c r="E2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52" s="46">
        <f>IF(select!$E$16=IF(Tabelle1[[#This Row],[mit Dämpfung]]=1,1,IF(Tabelle1[[#This Row],[ohne Dämpfung]]=1,2,IF(Tabelle1[[#This Row],[ohne Feder]]=1,3,0))),1,0)</f>
        <v>0</v>
      </c>
      <c r="G252" s="46">
        <f>IF(Tabelle1[[#This Row],[Links]]=select!$I$2,1,0)</f>
        <v>0</v>
      </c>
      <c r="H252" s="46">
        <f>IF(IF(Tabelle1[[#This Row],[Anschrauben]]=1,1,IF(Tabelle1[[#This Row],[Einpressen]]=1,2,IF(Tabelle1[[#This Row],[Werkzeuglos]]=1,3,0)))=select!$E$7,1,0)</f>
        <v>0</v>
      </c>
      <c r="I252" s="46">
        <f ca="1">IF(Tabelle1[[#This Row],[Winkel]]+Tabelle1[[#This Row],[Kröpfung]]+Tabelle1[[#This Row],[Däpfung]]+Tabelle1[[#This Row],[Bohrbild]]+Tabelle1[[#This Row],[Scharnierbefestigung]]=5,1,0)</f>
        <v>0</v>
      </c>
      <c r="J252" t="str">
        <f ca="1">Sprache!$A$58</f>
        <v>TIOMOS hinge TT-Impresso</v>
      </c>
      <c r="K252" t="s">
        <v>143</v>
      </c>
      <c r="L252" t="str">
        <f ca="1">Sprache!$A$62</f>
        <v>TIOMOS Impresso hinges</v>
      </c>
      <c r="M252">
        <v>9.5</v>
      </c>
      <c r="N252" t="s">
        <v>14</v>
      </c>
      <c r="O252">
        <v>120</v>
      </c>
      <c r="P252">
        <v>0</v>
      </c>
      <c r="Q252">
        <v>0</v>
      </c>
      <c r="R252">
        <v>1</v>
      </c>
      <c r="S252">
        <v>0</v>
      </c>
      <c r="T252">
        <v>0</v>
      </c>
      <c r="U252">
        <v>1</v>
      </c>
      <c r="V252" s="14" t="s">
        <v>242</v>
      </c>
    </row>
    <row r="253" spans="1:22" ht="14.25" customHeight="1" x14ac:dyDescent="0.25">
      <c r="A253" s="48" t="str">
        <f>LEFT(Tabelle1[[#This Row],[Artikel'#]],4)</f>
        <v>F035</v>
      </c>
      <c r="B253" s="46" t="str">
        <f>MID(Tabelle1[[#This Row],[Artikel'#]],5,3)</f>
        <v>139</v>
      </c>
      <c r="C253" s="48" t="str">
        <f>RIGHT(Tabelle1[[#This Row],[Artikel'#]],3)</f>
        <v>543</v>
      </c>
      <c r="D253" s="46">
        <f>IF(Tabelle1[[#This Row],[Winkel2]]=select!$A$2,1,0)</f>
        <v>0</v>
      </c>
      <c r="E2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53" s="46">
        <f>IF(select!$E$16=IF(Tabelle1[[#This Row],[mit Dämpfung]]=1,1,IF(Tabelle1[[#This Row],[ohne Dämpfung]]=1,2,IF(Tabelle1[[#This Row],[ohne Feder]]=1,3,0))),1,0)</f>
        <v>0</v>
      </c>
      <c r="G253" s="46">
        <f>IF(Tabelle1[[#This Row],[Links]]=select!$I$2,1,0)</f>
        <v>0</v>
      </c>
      <c r="H253" s="46">
        <f>IF(IF(Tabelle1[[#This Row],[Anschrauben]]=1,1,IF(Tabelle1[[#This Row],[Einpressen]]=1,2,IF(Tabelle1[[#This Row],[Werkzeuglos]]=1,3,0)))=select!$E$7,1,0)</f>
        <v>0</v>
      </c>
      <c r="I253" s="46">
        <f ca="1">IF(Tabelle1[[#This Row],[Winkel]]+Tabelle1[[#This Row],[Kröpfung]]+Tabelle1[[#This Row],[Däpfung]]+Tabelle1[[#This Row],[Bohrbild]]+Tabelle1[[#This Row],[Scharnierbefestigung]]=5,1,0)</f>
        <v>0</v>
      </c>
      <c r="J253" t="str">
        <f ca="1">Sprache!$A$58</f>
        <v>TIOMOS hinge TT-Impresso</v>
      </c>
      <c r="K253" t="s">
        <v>143</v>
      </c>
      <c r="L253" t="str">
        <f ca="1">Sprache!$A$62</f>
        <v>TIOMOS Impresso hinges</v>
      </c>
      <c r="M253">
        <v>9.5</v>
      </c>
      <c r="N253" t="s">
        <v>15</v>
      </c>
      <c r="O253">
        <v>120</v>
      </c>
      <c r="P253">
        <v>0</v>
      </c>
      <c r="Q253">
        <v>0</v>
      </c>
      <c r="R253">
        <v>1</v>
      </c>
      <c r="S253">
        <v>0</v>
      </c>
      <c r="T253">
        <v>0</v>
      </c>
      <c r="U253">
        <v>1</v>
      </c>
      <c r="V253" s="14" t="s">
        <v>242</v>
      </c>
    </row>
    <row r="254" spans="1:22" ht="14.25" customHeight="1" x14ac:dyDescent="0.25">
      <c r="A254" s="48" t="str">
        <f>LEFT(Tabelle1[[#This Row],[Artikel'#]],4)</f>
        <v>F035</v>
      </c>
      <c r="B254" s="46" t="str">
        <f>MID(Tabelle1[[#This Row],[Artikel'#]],5,3)</f>
        <v>139</v>
      </c>
      <c r="C254" s="48" t="str">
        <f>RIGHT(Tabelle1[[#This Row],[Artikel'#]],3)</f>
        <v>548</v>
      </c>
      <c r="D254" s="46">
        <f>IF(Tabelle1[[#This Row],[Winkel2]]=select!$A$2,1,0)</f>
        <v>0</v>
      </c>
      <c r="E2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4" s="46">
        <f>IF(select!$E$16=IF(Tabelle1[[#This Row],[mit Dämpfung]]=1,1,IF(Tabelle1[[#This Row],[ohne Dämpfung]]=1,2,IF(Tabelle1[[#This Row],[ohne Feder]]=1,3,0))),1,0)</f>
        <v>0</v>
      </c>
      <c r="G254" s="46">
        <f>IF(Tabelle1[[#This Row],[Links]]=select!$I$2,1,0)</f>
        <v>0</v>
      </c>
      <c r="H254" s="46">
        <f>IF(IF(Tabelle1[[#This Row],[Anschrauben]]=1,1,IF(Tabelle1[[#This Row],[Einpressen]]=1,2,IF(Tabelle1[[#This Row],[Werkzeuglos]]=1,3,0)))=select!$E$7,1,0)</f>
        <v>0</v>
      </c>
      <c r="I254" s="46">
        <f ca="1">IF(Tabelle1[[#This Row],[Winkel]]+Tabelle1[[#This Row],[Kröpfung]]+Tabelle1[[#This Row],[Däpfung]]+Tabelle1[[#This Row],[Bohrbild]]+Tabelle1[[#This Row],[Scharnierbefestigung]]=5,1,0)</f>
        <v>0</v>
      </c>
      <c r="J254" t="str">
        <f ca="1">Sprache!$A$58</f>
        <v>TIOMOS hinge TT-Impresso</v>
      </c>
      <c r="K254" t="s">
        <v>145</v>
      </c>
      <c r="L254" t="str">
        <f ca="1">Sprache!$A$62</f>
        <v>TIOMOS Impresso hinges</v>
      </c>
      <c r="M254">
        <v>0</v>
      </c>
      <c r="N254" s="13" t="s">
        <v>14</v>
      </c>
      <c r="O254">
        <v>160</v>
      </c>
      <c r="P254">
        <v>0</v>
      </c>
      <c r="Q254">
        <v>0</v>
      </c>
      <c r="R254">
        <v>1</v>
      </c>
      <c r="S254">
        <v>0</v>
      </c>
      <c r="T254">
        <v>0</v>
      </c>
      <c r="U254">
        <v>1</v>
      </c>
      <c r="V254" s="14" t="s">
        <v>243</v>
      </c>
    </row>
    <row r="255" spans="1:22" ht="14.25" customHeight="1" x14ac:dyDescent="0.25">
      <c r="A255" s="48" t="str">
        <f>LEFT(Tabelle1[[#This Row],[Artikel'#]],4)</f>
        <v>F035</v>
      </c>
      <c r="B255" s="46" t="str">
        <f>MID(Tabelle1[[#This Row],[Artikel'#]],5,3)</f>
        <v>139</v>
      </c>
      <c r="C255" s="48" t="str">
        <f>RIGHT(Tabelle1[[#This Row],[Artikel'#]],3)</f>
        <v>548</v>
      </c>
      <c r="D255" s="46">
        <f>IF(Tabelle1[[#This Row],[Winkel2]]=select!$A$2,1,0)</f>
        <v>0</v>
      </c>
      <c r="E2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5" s="46">
        <f>IF(select!$E$16=IF(Tabelle1[[#This Row],[mit Dämpfung]]=1,1,IF(Tabelle1[[#This Row],[ohne Dämpfung]]=1,2,IF(Tabelle1[[#This Row],[ohne Feder]]=1,3,0))),1,0)</f>
        <v>0</v>
      </c>
      <c r="G255" s="46">
        <f>IF(Tabelle1[[#This Row],[Links]]=select!$I$2,1,0)</f>
        <v>0</v>
      </c>
      <c r="H255" s="46">
        <f>IF(IF(Tabelle1[[#This Row],[Anschrauben]]=1,1,IF(Tabelle1[[#This Row],[Einpressen]]=1,2,IF(Tabelle1[[#This Row],[Werkzeuglos]]=1,3,0)))=select!$E$7,1,0)</f>
        <v>0</v>
      </c>
      <c r="I255" s="46">
        <f ca="1">IF(Tabelle1[[#This Row],[Winkel]]+Tabelle1[[#This Row],[Kröpfung]]+Tabelle1[[#This Row],[Däpfung]]+Tabelle1[[#This Row],[Bohrbild]]+Tabelle1[[#This Row],[Scharnierbefestigung]]=5,1,0)</f>
        <v>0</v>
      </c>
      <c r="J255" t="str">
        <f ca="1">Sprache!$A$58</f>
        <v>TIOMOS hinge TT-Impresso</v>
      </c>
      <c r="K255" t="s">
        <v>145</v>
      </c>
      <c r="L255" t="str">
        <f ca="1">Sprache!$A$62</f>
        <v>TIOMOS Impresso hinges</v>
      </c>
      <c r="M255">
        <v>0</v>
      </c>
      <c r="N255" s="13" t="s">
        <v>15</v>
      </c>
      <c r="O255">
        <v>160</v>
      </c>
      <c r="P255">
        <v>0</v>
      </c>
      <c r="Q255">
        <v>0</v>
      </c>
      <c r="R255">
        <v>1</v>
      </c>
      <c r="S255">
        <v>0</v>
      </c>
      <c r="T255">
        <v>0</v>
      </c>
      <c r="U255">
        <v>1</v>
      </c>
      <c r="V255" s="14" t="s">
        <v>243</v>
      </c>
    </row>
    <row r="256" spans="1:22" ht="14.25" customHeight="1" x14ac:dyDescent="0.25">
      <c r="A256" s="48" t="str">
        <f>LEFT(Tabelle1[[#This Row],[Artikel'#]],4)</f>
        <v>F035</v>
      </c>
      <c r="B256" s="46" t="str">
        <f>MID(Tabelle1[[#This Row],[Artikel'#]],5,3)</f>
        <v>139</v>
      </c>
      <c r="C256" s="48" t="str">
        <f>RIGHT(Tabelle1[[#This Row],[Artikel'#]],3)</f>
        <v>549</v>
      </c>
      <c r="D256" s="46">
        <f>IF(Tabelle1[[#This Row],[Winkel2]]=select!$A$2,1,0)</f>
        <v>0</v>
      </c>
      <c r="E2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6" s="46">
        <f>IF(select!$E$16=IF(Tabelle1[[#This Row],[mit Dämpfung]]=1,1,IF(Tabelle1[[#This Row],[ohne Dämpfung]]=1,2,IF(Tabelle1[[#This Row],[ohne Feder]]=1,3,0))),1,0)</f>
        <v>0</v>
      </c>
      <c r="G256" s="46">
        <f>IF(Tabelle1[[#This Row],[Links]]=select!$I$2,1,0)</f>
        <v>0</v>
      </c>
      <c r="H256" s="46">
        <f>IF(IF(Tabelle1[[#This Row],[Anschrauben]]=1,1,IF(Tabelle1[[#This Row],[Einpressen]]=1,2,IF(Tabelle1[[#This Row],[Werkzeuglos]]=1,3,0)))=select!$E$7,1,0)</f>
        <v>0</v>
      </c>
      <c r="I256" s="46">
        <f ca="1">IF(Tabelle1[[#This Row],[Winkel]]+Tabelle1[[#This Row],[Kröpfung]]+Tabelle1[[#This Row],[Däpfung]]+Tabelle1[[#This Row],[Bohrbild]]+Tabelle1[[#This Row],[Scharnierbefestigung]]=5,1,0)</f>
        <v>0</v>
      </c>
      <c r="J256" t="str">
        <f ca="1">Sprache!$A$58</f>
        <v>TIOMOS hinge TT-Impresso</v>
      </c>
      <c r="K256" t="s">
        <v>147</v>
      </c>
      <c r="L256" t="str">
        <f ca="1">Sprache!$A$62</f>
        <v>TIOMOS Impresso hinges</v>
      </c>
      <c r="M256">
        <v>3</v>
      </c>
      <c r="N256" t="s">
        <v>14</v>
      </c>
      <c r="O256">
        <v>160</v>
      </c>
      <c r="P256">
        <v>0</v>
      </c>
      <c r="Q256">
        <v>0</v>
      </c>
      <c r="R256">
        <v>1</v>
      </c>
      <c r="S256">
        <v>0</v>
      </c>
      <c r="T256">
        <v>0</v>
      </c>
      <c r="U256">
        <v>1</v>
      </c>
      <c r="V256" s="14" t="s">
        <v>244</v>
      </c>
    </row>
    <row r="257" spans="1:22" ht="14.25" customHeight="1" x14ac:dyDescent="0.25">
      <c r="A257" s="48" t="str">
        <f>LEFT(Tabelle1[[#This Row],[Artikel'#]],4)</f>
        <v>F035</v>
      </c>
      <c r="B257" s="46" t="str">
        <f>MID(Tabelle1[[#This Row],[Artikel'#]],5,3)</f>
        <v>139</v>
      </c>
      <c r="C257" s="48" t="str">
        <f>RIGHT(Tabelle1[[#This Row],[Artikel'#]],3)</f>
        <v>549</v>
      </c>
      <c r="D257" s="46">
        <f>IF(Tabelle1[[#This Row],[Winkel2]]=select!$A$2,1,0)</f>
        <v>0</v>
      </c>
      <c r="E2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57" s="46">
        <f>IF(select!$E$16=IF(Tabelle1[[#This Row],[mit Dämpfung]]=1,1,IF(Tabelle1[[#This Row],[ohne Dämpfung]]=1,2,IF(Tabelle1[[#This Row],[ohne Feder]]=1,3,0))),1,0)</f>
        <v>0</v>
      </c>
      <c r="G257" s="46">
        <f>IF(Tabelle1[[#This Row],[Links]]=select!$I$2,1,0)</f>
        <v>0</v>
      </c>
      <c r="H257" s="46">
        <f>IF(IF(Tabelle1[[#This Row],[Anschrauben]]=1,1,IF(Tabelle1[[#This Row],[Einpressen]]=1,2,IF(Tabelle1[[#This Row],[Werkzeuglos]]=1,3,0)))=select!$E$7,1,0)</f>
        <v>0</v>
      </c>
      <c r="I257" s="46">
        <f ca="1">IF(Tabelle1[[#This Row],[Winkel]]+Tabelle1[[#This Row],[Kröpfung]]+Tabelle1[[#This Row],[Däpfung]]+Tabelle1[[#This Row],[Bohrbild]]+Tabelle1[[#This Row],[Scharnierbefestigung]]=5,1,0)</f>
        <v>0</v>
      </c>
      <c r="J257" t="str">
        <f ca="1">Sprache!$A$58</f>
        <v>TIOMOS hinge TT-Impresso</v>
      </c>
      <c r="K257" t="s">
        <v>147</v>
      </c>
      <c r="L257" t="str">
        <f ca="1">Sprache!$A$62</f>
        <v>TIOMOS Impresso hinges</v>
      </c>
      <c r="M257">
        <v>3</v>
      </c>
      <c r="N257" t="s">
        <v>15</v>
      </c>
      <c r="O257">
        <v>160</v>
      </c>
      <c r="P257">
        <v>0</v>
      </c>
      <c r="Q257">
        <v>0</v>
      </c>
      <c r="R257">
        <v>1</v>
      </c>
      <c r="S257">
        <v>0</v>
      </c>
      <c r="T257">
        <v>0</v>
      </c>
      <c r="U257">
        <v>1</v>
      </c>
      <c r="V257" s="14" t="s">
        <v>244</v>
      </c>
    </row>
    <row r="258" spans="1:22" ht="14.25" customHeight="1" x14ac:dyDescent="0.25">
      <c r="A258" s="48" t="str">
        <f>LEFT(Tabelle1[[#This Row],[Artikel'#]],4)</f>
        <v>F035</v>
      </c>
      <c r="B258" s="46" t="str">
        <f>MID(Tabelle1[[#This Row],[Artikel'#]],5,3)</f>
        <v>139</v>
      </c>
      <c r="C258" s="48" t="str">
        <f>RIGHT(Tabelle1[[#This Row],[Artikel'#]],3)</f>
        <v>550</v>
      </c>
      <c r="D258" s="46">
        <f>IF(Tabelle1[[#This Row],[Winkel2]]=select!$A$2,1,0)</f>
        <v>0</v>
      </c>
      <c r="E2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58" s="46">
        <f>IF(select!$E$16=IF(Tabelle1[[#This Row],[mit Dämpfung]]=1,1,IF(Tabelle1[[#This Row],[ohne Dämpfung]]=1,2,IF(Tabelle1[[#This Row],[ohne Feder]]=1,3,0))),1,0)</f>
        <v>0</v>
      </c>
      <c r="G258" s="46">
        <f>IF(Tabelle1[[#This Row],[Links]]=select!$I$2,1,0)</f>
        <v>0</v>
      </c>
      <c r="H258" s="46">
        <f>IF(IF(Tabelle1[[#This Row],[Anschrauben]]=1,1,IF(Tabelle1[[#This Row],[Einpressen]]=1,2,IF(Tabelle1[[#This Row],[Werkzeuglos]]=1,3,0)))=select!$E$7,1,0)</f>
        <v>0</v>
      </c>
      <c r="I258" s="46">
        <f ca="1">IF(Tabelle1[[#This Row],[Winkel]]+Tabelle1[[#This Row],[Kröpfung]]+Tabelle1[[#This Row],[Däpfung]]+Tabelle1[[#This Row],[Bohrbild]]+Tabelle1[[#This Row],[Scharnierbefestigung]]=5,1,0)</f>
        <v>0</v>
      </c>
      <c r="J258" t="str">
        <f ca="1">Sprache!$A$58</f>
        <v>TIOMOS hinge TT-Impresso</v>
      </c>
      <c r="K258" t="s">
        <v>149</v>
      </c>
      <c r="L258" t="str">
        <f ca="1">Sprache!$A$62</f>
        <v>TIOMOS Impresso hinges</v>
      </c>
      <c r="M258">
        <v>9.5</v>
      </c>
      <c r="N258" t="s">
        <v>14</v>
      </c>
      <c r="O258">
        <v>160</v>
      </c>
      <c r="P258">
        <v>0</v>
      </c>
      <c r="Q258">
        <v>0</v>
      </c>
      <c r="R258">
        <v>1</v>
      </c>
      <c r="S258">
        <v>0</v>
      </c>
      <c r="T258">
        <v>0</v>
      </c>
      <c r="U258">
        <v>1</v>
      </c>
      <c r="V258" s="14" t="s">
        <v>245</v>
      </c>
    </row>
    <row r="259" spans="1:22" ht="14.25" customHeight="1" x14ac:dyDescent="0.25">
      <c r="A259" s="48" t="str">
        <f>LEFT(Tabelle1[[#This Row],[Artikel'#]],4)</f>
        <v>F035</v>
      </c>
      <c r="B259" s="46" t="str">
        <f>MID(Tabelle1[[#This Row],[Artikel'#]],5,3)</f>
        <v>139</v>
      </c>
      <c r="C259" s="48" t="str">
        <f>RIGHT(Tabelle1[[#This Row],[Artikel'#]],3)</f>
        <v>550</v>
      </c>
      <c r="D259" s="46">
        <f>IF(Tabelle1[[#This Row],[Winkel2]]=select!$A$2,1,0)</f>
        <v>0</v>
      </c>
      <c r="E2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59" s="46">
        <f>IF(select!$E$16=IF(Tabelle1[[#This Row],[mit Dämpfung]]=1,1,IF(Tabelle1[[#This Row],[ohne Dämpfung]]=1,2,IF(Tabelle1[[#This Row],[ohne Feder]]=1,3,0))),1,0)</f>
        <v>0</v>
      </c>
      <c r="G259" s="46">
        <f>IF(Tabelle1[[#This Row],[Links]]=select!$I$2,1,0)</f>
        <v>0</v>
      </c>
      <c r="H259" s="46">
        <f>IF(IF(Tabelle1[[#This Row],[Anschrauben]]=1,1,IF(Tabelle1[[#This Row],[Einpressen]]=1,2,IF(Tabelle1[[#This Row],[Werkzeuglos]]=1,3,0)))=select!$E$7,1,0)</f>
        <v>0</v>
      </c>
      <c r="I259" s="46">
        <f ca="1">IF(Tabelle1[[#This Row],[Winkel]]+Tabelle1[[#This Row],[Kröpfung]]+Tabelle1[[#This Row],[Däpfung]]+Tabelle1[[#This Row],[Bohrbild]]+Tabelle1[[#This Row],[Scharnierbefestigung]]=5,1,0)</f>
        <v>0</v>
      </c>
      <c r="J259" t="str">
        <f ca="1">Sprache!$A$58</f>
        <v>TIOMOS hinge TT-Impresso</v>
      </c>
      <c r="K259" t="s">
        <v>149</v>
      </c>
      <c r="L259" t="str">
        <f ca="1">Sprache!$A$62</f>
        <v>TIOMOS Impresso hinges</v>
      </c>
      <c r="M259">
        <v>9.5</v>
      </c>
      <c r="N259" t="s">
        <v>15</v>
      </c>
      <c r="O259">
        <v>160</v>
      </c>
      <c r="P259">
        <v>0</v>
      </c>
      <c r="Q259">
        <v>0</v>
      </c>
      <c r="R259">
        <v>1</v>
      </c>
      <c r="S259">
        <v>0</v>
      </c>
      <c r="T259">
        <v>0</v>
      </c>
      <c r="U259">
        <v>1</v>
      </c>
      <c r="V259" s="14" t="s">
        <v>245</v>
      </c>
    </row>
    <row r="260" spans="1:22" ht="14.25" customHeight="1" x14ac:dyDescent="0.25">
      <c r="A260" s="48" t="str">
        <f>LEFT(Tabelle1[[#This Row],[Artikel'#]],4)</f>
        <v>F035</v>
      </c>
      <c r="B260" s="46" t="str">
        <f>MID(Tabelle1[[#This Row],[Artikel'#]],5,3)</f>
        <v>139</v>
      </c>
      <c r="C260" s="48" t="str">
        <f>RIGHT(Tabelle1[[#This Row],[Artikel'#]],3)</f>
        <v>551</v>
      </c>
      <c r="D260" s="46">
        <f>IF(Tabelle1[[#This Row],[Winkel2]]=select!$A$2,1,0)</f>
        <v>0</v>
      </c>
      <c r="E2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0" s="46">
        <f>IF(select!$E$16=IF(Tabelle1[[#This Row],[mit Dämpfung]]=1,1,IF(Tabelle1[[#This Row],[ohne Dämpfung]]=1,2,IF(Tabelle1[[#This Row],[ohne Feder]]=1,3,0))),1,0)</f>
        <v>0</v>
      </c>
      <c r="G260" s="46">
        <f>IF(Tabelle1[[#This Row],[Links]]=select!$I$2,1,0)</f>
        <v>0</v>
      </c>
      <c r="H260" s="46">
        <f>IF(IF(Tabelle1[[#This Row],[Anschrauben]]=1,1,IF(Tabelle1[[#This Row],[Einpressen]]=1,2,IF(Tabelle1[[#This Row],[Werkzeuglos]]=1,3,0)))=select!$E$7,1,0)</f>
        <v>0</v>
      </c>
      <c r="I260" s="46">
        <f ca="1">IF(Tabelle1[[#This Row],[Winkel]]+Tabelle1[[#This Row],[Kröpfung]]+Tabelle1[[#This Row],[Däpfung]]+Tabelle1[[#This Row],[Bohrbild]]+Tabelle1[[#This Row],[Scharnierbefestigung]]=5,1,0)</f>
        <v>0</v>
      </c>
      <c r="J260" t="str">
        <f ca="1">Sprache!$A$58</f>
        <v>TIOMOS hinge TT-Impresso</v>
      </c>
      <c r="K260" t="s">
        <v>151</v>
      </c>
      <c r="L260" t="str">
        <f ca="1">Sprache!$A$62</f>
        <v>TIOMOS Impresso hinges</v>
      </c>
      <c r="M260">
        <v>0</v>
      </c>
      <c r="N260" t="s">
        <v>14</v>
      </c>
      <c r="O260">
        <v>95</v>
      </c>
      <c r="P260">
        <v>0</v>
      </c>
      <c r="Q260">
        <v>0</v>
      </c>
      <c r="R260">
        <v>1</v>
      </c>
      <c r="S260">
        <v>0</v>
      </c>
      <c r="T260">
        <v>0</v>
      </c>
      <c r="U260">
        <v>1</v>
      </c>
      <c r="V260" s="14" t="s">
        <v>246</v>
      </c>
    </row>
    <row r="261" spans="1:22" ht="14.25" customHeight="1" x14ac:dyDescent="0.25">
      <c r="A261" s="48" t="str">
        <f>LEFT(Tabelle1[[#This Row],[Artikel'#]],4)</f>
        <v>F035</v>
      </c>
      <c r="B261" s="46" t="str">
        <f>MID(Tabelle1[[#This Row],[Artikel'#]],5,3)</f>
        <v>139</v>
      </c>
      <c r="C261" s="48" t="str">
        <f>RIGHT(Tabelle1[[#This Row],[Artikel'#]],3)</f>
        <v>551</v>
      </c>
      <c r="D261" s="46">
        <f>IF(Tabelle1[[#This Row],[Winkel2]]=select!$A$2,1,0)</f>
        <v>0</v>
      </c>
      <c r="E2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1" s="46">
        <f>IF(select!$E$16=IF(Tabelle1[[#This Row],[mit Dämpfung]]=1,1,IF(Tabelle1[[#This Row],[ohne Dämpfung]]=1,2,IF(Tabelle1[[#This Row],[ohne Feder]]=1,3,0))),1,0)</f>
        <v>0</v>
      </c>
      <c r="G261" s="46">
        <f>IF(Tabelle1[[#This Row],[Links]]=select!$I$2,1,0)</f>
        <v>0</v>
      </c>
      <c r="H261" s="46">
        <f>IF(IF(Tabelle1[[#This Row],[Anschrauben]]=1,1,IF(Tabelle1[[#This Row],[Einpressen]]=1,2,IF(Tabelle1[[#This Row],[Werkzeuglos]]=1,3,0)))=select!$E$7,1,0)</f>
        <v>0</v>
      </c>
      <c r="I261" s="46">
        <f ca="1">IF(Tabelle1[[#This Row],[Winkel]]+Tabelle1[[#This Row],[Kröpfung]]+Tabelle1[[#This Row],[Däpfung]]+Tabelle1[[#This Row],[Bohrbild]]+Tabelle1[[#This Row],[Scharnierbefestigung]]=5,1,0)</f>
        <v>0</v>
      </c>
      <c r="J261" t="str">
        <f ca="1">Sprache!$A$58</f>
        <v>TIOMOS hinge TT-Impresso</v>
      </c>
      <c r="K261" t="s">
        <v>151</v>
      </c>
      <c r="L261" t="str">
        <f ca="1">Sprache!$A$62</f>
        <v>TIOMOS Impresso hinges</v>
      </c>
      <c r="M261">
        <v>0</v>
      </c>
      <c r="N261" t="s">
        <v>15</v>
      </c>
      <c r="O261">
        <v>95</v>
      </c>
      <c r="P261">
        <v>0</v>
      </c>
      <c r="Q261">
        <v>0</v>
      </c>
      <c r="R261">
        <v>1</v>
      </c>
      <c r="S261">
        <v>0</v>
      </c>
      <c r="T261">
        <v>0</v>
      </c>
      <c r="U261">
        <v>1</v>
      </c>
      <c r="V261" s="14" t="s">
        <v>246</v>
      </c>
    </row>
    <row r="262" spans="1:22" ht="14.25" customHeight="1" x14ac:dyDescent="0.25">
      <c r="A262" s="48" t="str">
        <f>LEFT(Tabelle1[[#This Row],[Artikel'#]],4)</f>
        <v>F035</v>
      </c>
      <c r="B262" s="46" t="str">
        <f>MID(Tabelle1[[#This Row],[Artikel'#]],5,3)</f>
        <v>139</v>
      </c>
      <c r="C262" s="48" t="str">
        <f>RIGHT(Tabelle1[[#This Row],[Artikel'#]],3)</f>
        <v>552</v>
      </c>
      <c r="D262" s="46">
        <f>IF(Tabelle1[[#This Row],[Winkel2]]=select!$A$2,1,0)</f>
        <v>0</v>
      </c>
      <c r="E2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2" s="46">
        <f>IF(select!$E$16=IF(Tabelle1[[#This Row],[mit Dämpfung]]=1,1,IF(Tabelle1[[#This Row],[ohne Dämpfung]]=1,2,IF(Tabelle1[[#This Row],[ohne Feder]]=1,3,0))),1,0)</f>
        <v>0</v>
      </c>
      <c r="G262" s="46">
        <f>IF(Tabelle1[[#This Row],[Links]]=select!$I$2,1,0)</f>
        <v>0</v>
      </c>
      <c r="H262" s="46">
        <f>IF(IF(Tabelle1[[#This Row],[Anschrauben]]=1,1,IF(Tabelle1[[#This Row],[Einpressen]]=1,2,IF(Tabelle1[[#This Row],[Werkzeuglos]]=1,3,0)))=select!$E$7,1,0)</f>
        <v>0</v>
      </c>
      <c r="I262" s="46">
        <f ca="1">IF(Tabelle1[[#This Row],[Winkel]]+Tabelle1[[#This Row],[Kröpfung]]+Tabelle1[[#This Row],[Däpfung]]+Tabelle1[[#This Row],[Bohrbild]]+Tabelle1[[#This Row],[Scharnierbefestigung]]=5,1,0)</f>
        <v>0</v>
      </c>
      <c r="J262" t="str">
        <f ca="1">Sprache!$A$58</f>
        <v>TIOMOS hinge TT-Impresso</v>
      </c>
      <c r="K262" t="s">
        <v>153</v>
      </c>
      <c r="L262" t="str">
        <f ca="1">Sprache!$A$62</f>
        <v>TIOMOS Impresso hinges</v>
      </c>
      <c r="M262">
        <v>3</v>
      </c>
      <c r="N262" t="s">
        <v>14</v>
      </c>
      <c r="O262">
        <v>95</v>
      </c>
      <c r="P262">
        <v>0</v>
      </c>
      <c r="Q262">
        <v>0</v>
      </c>
      <c r="R262">
        <v>1</v>
      </c>
      <c r="S262">
        <v>0</v>
      </c>
      <c r="T262">
        <v>0</v>
      </c>
      <c r="U262">
        <v>1</v>
      </c>
      <c r="V262" s="14" t="s">
        <v>247</v>
      </c>
    </row>
    <row r="263" spans="1:22" ht="14.25" customHeight="1" x14ac:dyDescent="0.25">
      <c r="A263" s="48" t="str">
        <f>LEFT(Tabelle1[[#This Row],[Artikel'#]],4)</f>
        <v>F035</v>
      </c>
      <c r="B263" s="46" t="str">
        <f>MID(Tabelle1[[#This Row],[Artikel'#]],5,3)</f>
        <v>139</v>
      </c>
      <c r="C263" s="48" t="str">
        <f>RIGHT(Tabelle1[[#This Row],[Artikel'#]],3)</f>
        <v>552</v>
      </c>
      <c r="D263" s="46">
        <f>IF(Tabelle1[[#This Row],[Winkel2]]=select!$A$2,1,0)</f>
        <v>0</v>
      </c>
      <c r="E2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3" s="46">
        <f>IF(select!$E$16=IF(Tabelle1[[#This Row],[mit Dämpfung]]=1,1,IF(Tabelle1[[#This Row],[ohne Dämpfung]]=1,2,IF(Tabelle1[[#This Row],[ohne Feder]]=1,3,0))),1,0)</f>
        <v>0</v>
      </c>
      <c r="G263" s="46">
        <f>IF(Tabelle1[[#This Row],[Links]]=select!$I$2,1,0)</f>
        <v>0</v>
      </c>
      <c r="H263" s="46">
        <f>IF(IF(Tabelle1[[#This Row],[Anschrauben]]=1,1,IF(Tabelle1[[#This Row],[Einpressen]]=1,2,IF(Tabelle1[[#This Row],[Werkzeuglos]]=1,3,0)))=select!$E$7,1,0)</f>
        <v>0</v>
      </c>
      <c r="I263" s="46">
        <f ca="1">IF(Tabelle1[[#This Row],[Winkel]]+Tabelle1[[#This Row],[Kröpfung]]+Tabelle1[[#This Row],[Däpfung]]+Tabelle1[[#This Row],[Bohrbild]]+Tabelle1[[#This Row],[Scharnierbefestigung]]=5,1,0)</f>
        <v>0</v>
      </c>
      <c r="J263" t="str">
        <f ca="1">Sprache!$A$58</f>
        <v>TIOMOS hinge TT-Impresso</v>
      </c>
      <c r="K263" t="s">
        <v>153</v>
      </c>
      <c r="L263" t="str">
        <f ca="1">Sprache!$A$62</f>
        <v>TIOMOS Impresso hinges</v>
      </c>
      <c r="M263">
        <v>3</v>
      </c>
      <c r="N263" t="s">
        <v>15</v>
      </c>
      <c r="O263">
        <v>95</v>
      </c>
      <c r="P263">
        <v>0</v>
      </c>
      <c r="Q263">
        <v>0</v>
      </c>
      <c r="R263">
        <v>1</v>
      </c>
      <c r="S263">
        <v>0</v>
      </c>
      <c r="T263">
        <v>0</v>
      </c>
      <c r="U263">
        <v>1</v>
      </c>
      <c r="V263" s="14" t="s">
        <v>247</v>
      </c>
    </row>
    <row r="264" spans="1:22" ht="14.25" customHeight="1" x14ac:dyDescent="0.25">
      <c r="A264" s="48" t="str">
        <f>LEFT(Tabelle1[[#This Row],[Artikel'#]],4)</f>
        <v>F035</v>
      </c>
      <c r="B264" s="46" t="str">
        <f>MID(Tabelle1[[#This Row],[Artikel'#]],5,3)</f>
        <v>139</v>
      </c>
      <c r="C264" s="48" t="str">
        <f>RIGHT(Tabelle1[[#This Row],[Artikel'#]],3)</f>
        <v>553</v>
      </c>
      <c r="D264" s="46">
        <f>IF(Tabelle1[[#This Row],[Winkel2]]=select!$A$2,1,0)</f>
        <v>0</v>
      </c>
      <c r="E2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64" s="46">
        <f>IF(select!$E$16=IF(Tabelle1[[#This Row],[mit Dämpfung]]=1,1,IF(Tabelle1[[#This Row],[ohne Dämpfung]]=1,2,IF(Tabelle1[[#This Row],[ohne Feder]]=1,3,0))),1,0)</f>
        <v>0</v>
      </c>
      <c r="G264" s="46">
        <f>IF(Tabelle1[[#This Row],[Links]]=select!$I$2,1,0)</f>
        <v>0</v>
      </c>
      <c r="H264" s="46">
        <f>IF(IF(Tabelle1[[#This Row],[Anschrauben]]=1,1,IF(Tabelle1[[#This Row],[Einpressen]]=1,2,IF(Tabelle1[[#This Row],[Werkzeuglos]]=1,3,0)))=select!$E$7,1,0)</f>
        <v>0</v>
      </c>
      <c r="I264" s="46">
        <f ca="1">IF(Tabelle1[[#This Row],[Winkel]]+Tabelle1[[#This Row],[Kröpfung]]+Tabelle1[[#This Row],[Däpfung]]+Tabelle1[[#This Row],[Bohrbild]]+Tabelle1[[#This Row],[Scharnierbefestigung]]=5,1,0)</f>
        <v>0</v>
      </c>
      <c r="J264" t="str">
        <f ca="1">Sprache!$A$58</f>
        <v>TIOMOS hinge TT-Impresso</v>
      </c>
      <c r="K264" t="s">
        <v>155</v>
      </c>
      <c r="L264" t="str">
        <f ca="1">Sprache!$A$62</f>
        <v>TIOMOS Impresso hinges</v>
      </c>
      <c r="M264">
        <v>9.5</v>
      </c>
      <c r="N264" t="s">
        <v>14</v>
      </c>
      <c r="O264">
        <v>95</v>
      </c>
      <c r="P264">
        <v>0</v>
      </c>
      <c r="Q264">
        <v>0</v>
      </c>
      <c r="R264">
        <v>1</v>
      </c>
      <c r="S264">
        <v>0</v>
      </c>
      <c r="T264">
        <v>0</v>
      </c>
      <c r="U264">
        <v>1</v>
      </c>
      <c r="V264" s="14" t="s">
        <v>248</v>
      </c>
    </row>
    <row r="265" spans="1:22" ht="14.25" customHeight="1" x14ac:dyDescent="0.25">
      <c r="A265" s="48" t="str">
        <f>LEFT(Tabelle1[[#This Row],[Artikel'#]],4)</f>
        <v>F035</v>
      </c>
      <c r="B265" s="46" t="str">
        <f>MID(Tabelle1[[#This Row],[Artikel'#]],5,3)</f>
        <v>139</v>
      </c>
      <c r="C265" s="48" t="str">
        <f>RIGHT(Tabelle1[[#This Row],[Artikel'#]],3)</f>
        <v>553</v>
      </c>
      <c r="D265" s="46">
        <f>IF(Tabelle1[[#This Row],[Winkel2]]=select!$A$2,1,0)</f>
        <v>0</v>
      </c>
      <c r="E2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65" s="46">
        <f>IF(select!$E$16=IF(Tabelle1[[#This Row],[mit Dämpfung]]=1,1,IF(Tabelle1[[#This Row],[ohne Dämpfung]]=1,2,IF(Tabelle1[[#This Row],[ohne Feder]]=1,3,0))),1,0)</f>
        <v>0</v>
      </c>
      <c r="G265" s="46">
        <f>IF(Tabelle1[[#This Row],[Links]]=select!$I$2,1,0)</f>
        <v>0</v>
      </c>
      <c r="H265" s="46">
        <f>IF(IF(Tabelle1[[#This Row],[Anschrauben]]=1,1,IF(Tabelle1[[#This Row],[Einpressen]]=1,2,IF(Tabelle1[[#This Row],[Werkzeuglos]]=1,3,0)))=select!$E$7,1,0)</f>
        <v>0</v>
      </c>
      <c r="I265" s="46">
        <f ca="1">IF(Tabelle1[[#This Row],[Winkel]]+Tabelle1[[#This Row],[Kröpfung]]+Tabelle1[[#This Row],[Däpfung]]+Tabelle1[[#This Row],[Bohrbild]]+Tabelle1[[#This Row],[Scharnierbefestigung]]=5,1,0)</f>
        <v>0</v>
      </c>
      <c r="J265" t="str">
        <f ca="1">Sprache!$A$58</f>
        <v>TIOMOS hinge TT-Impresso</v>
      </c>
      <c r="K265" t="s">
        <v>155</v>
      </c>
      <c r="L265" t="str">
        <f ca="1">Sprache!$A$62</f>
        <v>TIOMOS Impresso hinges</v>
      </c>
      <c r="M265">
        <v>9.5</v>
      </c>
      <c r="N265" t="s">
        <v>15</v>
      </c>
      <c r="O265">
        <v>95</v>
      </c>
      <c r="P265">
        <v>0</v>
      </c>
      <c r="Q265">
        <v>0</v>
      </c>
      <c r="R265">
        <v>1</v>
      </c>
      <c r="S265">
        <v>0</v>
      </c>
      <c r="T265">
        <v>0</v>
      </c>
      <c r="U265">
        <v>1</v>
      </c>
      <c r="V265" s="14" t="s">
        <v>248</v>
      </c>
    </row>
    <row r="266" spans="1:22" ht="14.25" customHeight="1" x14ac:dyDescent="0.25">
      <c r="A266" s="48" t="str">
        <f>LEFT(Tabelle1[[#This Row],[Artikel'#]],4)</f>
        <v>F035</v>
      </c>
      <c r="B266" s="46" t="str">
        <f>MID(Tabelle1[[#This Row],[Artikel'#]],5,3)</f>
        <v>139</v>
      </c>
      <c r="C266" s="48" t="str">
        <f>RIGHT(Tabelle1[[#This Row],[Artikel'#]],3)</f>
        <v>554</v>
      </c>
      <c r="D266" s="46">
        <f>IF(Tabelle1[[#This Row],[Winkel2]]=select!$A$2,1,0)</f>
        <v>0</v>
      </c>
      <c r="E2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6" s="46">
        <f>IF(select!$E$16=IF(Tabelle1[[#This Row],[mit Dämpfung]]=1,1,IF(Tabelle1[[#This Row],[ohne Dämpfung]]=1,2,IF(Tabelle1[[#This Row],[ohne Feder]]=1,3,0))),1,0)</f>
        <v>0</v>
      </c>
      <c r="G266" s="46">
        <f>IF(Tabelle1[[#This Row],[Links]]=select!$I$2,1,0)</f>
        <v>0</v>
      </c>
      <c r="H266" s="46">
        <f>IF(IF(Tabelle1[[#This Row],[Anschrauben]]=1,1,IF(Tabelle1[[#This Row],[Einpressen]]=1,2,IF(Tabelle1[[#This Row],[Werkzeuglos]]=1,3,0)))=select!$E$7,1,0)</f>
        <v>0</v>
      </c>
      <c r="I266" s="46">
        <f ca="1">IF(Tabelle1[[#This Row],[Winkel]]+Tabelle1[[#This Row],[Kröpfung]]+Tabelle1[[#This Row],[Däpfung]]+Tabelle1[[#This Row],[Bohrbild]]+Tabelle1[[#This Row],[Scharnierbefestigung]]=5,1,0)</f>
        <v>0</v>
      </c>
      <c r="J266" t="str">
        <f ca="1">Sprache!$A$58</f>
        <v>TIOMOS hinge TT-Impresso</v>
      </c>
      <c r="K266" t="s">
        <v>157</v>
      </c>
      <c r="L266" t="str">
        <f ca="1">Sprache!$A$62</f>
        <v>TIOMOS Impresso hinges</v>
      </c>
      <c r="M266">
        <v>19</v>
      </c>
      <c r="N266" t="s">
        <v>14</v>
      </c>
      <c r="O266">
        <v>95</v>
      </c>
      <c r="P266">
        <v>0</v>
      </c>
      <c r="Q266">
        <v>0</v>
      </c>
      <c r="R266">
        <v>1</v>
      </c>
      <c r="S266">
        <v>0</v>
      </c>
      <c r="T266">
        <v>0</v>
      </c>
      <c r="U266">
        <v>1</v>
      </c>
      <c r="V266" s="14" t="s">
        <v>249</v>
      </c>
    </row>
    <row r="267" spans="1:22" ht="14.25" customHeight="1" x14ac:dyDescent="0.25">
      <c r="A267" s="48" t="str">
        <f>LEFT(Tabelle1[[#This Row],[Artikel'#]],4)</f>
        <v>F035</v>
      </c>
      <c r="B267" s="46" t="str">
        <f>MID(Tabelle1[[#This Row],[Artikel'#]],5,3)</f>
        <v>139</v>
      </c>
      <c r="C267" s="48" t="str">
        <f>RIGHT(Tabelle1[[#This Row],[Artikel'#]],3)</f>
        <v>554</v>
      </c>
      <c r="D267" s="46">
        <f>IF(Tabelle1[[#This Row],[Winkel2]]=select!$A$2,1,0)</f>
        <v>0</v>
      </c>
      <c r="E2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7" s="46">
        <f>IF(select!$E$16=IF(Tabelle1[[#This Row],[mit Dämpfung]]=1,1,IF(Tabelle1[[#This Row],[ohne Dämpfung]]=1,2,IF(Tabelle1[[#This Row],[ohne Feder]]=1,3,0))),1,0)</f>
        <v>0</v>
      </c>
      <c r="G267" s="46">
        <f>IF(Tabelle1[[#This Row],[Links]]=select!$I$2,1,0)</f>
        <v>0</v>
      </c>
      <c r="H267" s="46">
        <f>IF(IF(Tabelle1[[#This Row],[Anschrauben]]=1,1,IF(Tabelle1[[#This Row],[Einpressen]]=1,2,IF(Tabelle1[[#This Row],[Werkzeuglos]]=1,3,0)))=select!$E$7,1,0)</f>
        <v>0</v>
      </c>
      <c r="I267" s="46">
        <f ca="1">IF(Tabelle1[[#This Row],[Winkel]]+Tabelle1[[#This Row],[Kröpfung]]+Tabelle1[[#This Row],[Däpfung]]+Tabelle1[[#This Row],[Bohrbild]]+Tabelle1[[#This Row],[Scharnierbefestigung]]=5,1,0)</f>
        <v>0</v>
      </c>
      <c r="J267" t="str">
        <f ca="1">Sprache!$A$58</f>
        <v>TIOMOS hinge TT-Impresso</v>
      </c>
      <c r="K267" t="s">
        <v>157</v>
      </c>
      <c r="L267" t="str">
        <f ca="1">Sprache!$A$62</f>
        <v>TIOMOS Impresso hinges</v>
      </c>
      <c r="M267">
        <v>19</v>
      </c>
      <c r="N267" t="s">
        <v>15</v>
      </c>
      <c r="O267">
        <v>95</v>
      </c>
      <c r="P267">
        <v>0</v>
      </c>
      <c r="Q267">
        <v>0</v>
      </c>
      <c r="R267">
        <v>1</v>
      </c>
      <c r="S267">
        <v>0</v>
      </c>
      <c r="T267">
        <v>0</v>
      </c>
      <c r="U267">
        <v>1</v>
      </c>
      <c r="V267" s="14" t="s">
        <v>249</v>
      </c>
    </row>
    <row r="268" spans="1:22" ht="14.25" customHeight="1" x14ac:dyDescent="0.25">
      <c r="A268" s="48" t="str">
        <f>LEFT(Tabelle1[[#This Row],[Artikel'#]],4)</f>
        <v>F035</v>
      </c>
      <c r="B268" s="46" t="str">
        <f>MID(Tabelle1[[#This Row],[Artikel'#]],5,3)</f>
        <v>139</v>
      </c>
      <c r="C268" s="48" t="str">
        <f>RIGHT(Tabelle1[[#This Row],[Artikel'#]],3)</f>
        <v>557</v>
      </c>
      <c r="D268" s="46">
        <f>IF(Tabelle1[[#This Row],[Winkel2]]=select!$A$2,1,0)</f>
        <v>0</v>
      </c>
      <c r="E2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8" s="46">
        <f>IF(select!$E$16=IF(Tabelle1[[#This Row],[mit Dämpfung]]=1,1,IF(Tabelle1[[#This Row],[ohne Dämpfung]]=1,2,IF(Tabelle1[[#This Row],[ohne Feder]]=1,3,0))),1,0)</f>
        <v>0</v>
      </c>
      <c r="G268" s="46">
        <f>IF(Tabelle1[[#This Row],[Links]]=select!$I$2,1,0)</f>
        <v>0</v>
      </c>
      <c r="H268" s="46">
        <f>IF(IF(Tabelle1[[#This Row],[Anschrauben]]=1,1,IF(Tabelle1[[#This Row],[Einpressen]]=1,2,IF(Tabelle1[[#This Row],[Werkzeuglos]]=1,3,0)))=select!$E$7,1,0)</f>
        <v>0</v>
      </c>
      <c r="I268" s="46">
        <f ca="1">IF(Tabelle1[[#This Row],[Winkel]]+Tabelle1[[#This Row],[Kröpfung]]+Tabelle1[[#This Row],[Däpfung]]+Tabelle1[[#This Row],[Bohrbild]]+Tabelle1[[#This Row],[Scharnierbefestigung]]=5,1,0)</f>
        <v>0</v>
      </c>
      <c r="J268" t="str">
        <f ca="1">Sprache!$A$58</f>
        <v>TIOMOS hinge TT-Impresso</v>
      </c>
      <c r="K268" t="s">
        <v>159</v>
      </c>
      <c r="L268" t="str">
        <f ca="1">Sprache!$A$62</f>
        <v>TIOMOS Impresso hinges</v>
      </c>
      <c r="M268">
        <v>19</v>
      </c>
      <c r="N268" t="s">
        <v>14</v>
      </c>
      <c r="O268">
        <v>120</v>
      </c>
      <c r="P268">
        <v>0</v>
      </c>
      <c r="Q268">
        <v>0</v>
      </c>
      <c r="R268">
        <v>1</v>
      </c>
      <c r="S268">
        <v>0</v>
      </c>
      <c r="T268">
        <v>0</v>
      </c>
      <c r="U268">
        <v>1</v>
      </c>
      <c r="V268" s="14" t="s">
        <v>250</v>
      </c>
    </row>
    <row r="269" spans="1:22" ht="14.25" customHeight="1" x14ac:dyDescent="0.25">
      <c r="A269" s="48" t="str">
        <f>LEFT(Tabelle1[[#This Row],[Artikel'#]],4)</f>
        <v>F035</v>
      </c>
      <c r="B269" s="46" t="str">
        <f>MID(Tabelle1[[#This Row],[Artikel'#]],5,3)</f>
        <v>139</v>
      </c>
      <c r="C269" s="48" t="str">
        <f>RIGHT(Tabelle1[[#This Row],[Artikel'#]],3)</f>
        <v>557</v>
      </c>
      <c r="D269" s="46">
        <f>IF(Tabelle1[[#This Row],[Winkel2]]=select!$A$2,1,0)</f>
        <v>0</v>
      </c>
      <c r="E2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69" s="46">
        <f>IF(select!$E$16=IF(Tabelle1[[#This Row],[mit Dämpfung]]=1,1,IF(Tabelle1[[#This Row],[ohne Dämpfung]]=1,2,IF(Tabelle1[[#This Row],[ohne Feder]]=1,3,0))),1,0)</f>
        <v>0</v>
      </c>
      <c r="G269" s="46">
        <f>IF(Tabelle1[[#This Row],[Links]]=select!$I$2,1,0)</f>
        <v>0</v>
      </c>
      <c r="H269" s="46">
        <f>IF(IF(Tabelle1[[#This Row],[Anschrauben]]=1,1,IF(Tabelle1[[#This Row],[Einpressen]]=1,2,IF(Tabelle1[[#This Row],[Werkzeuglos]]=1,3,0)))=select!$E$7,1,0)</f>
        <v>0</v>
      </c>
      <c r="I269" s="46">
        <f ca="1">IF(Tabelle1[[#This Row],[Winkel]]+Tabelle1[[#This Row],[Kröpfung]]+Tabelle1[[#This Row],[Däpfung]]+Tabelle1[[#This Row],[Bohrbild]]+Tabelle1[[#This Row],[Scharnierbefestigung]]=5,1,0)</f>
        <v>0</v>
      </c>
      <c r="J269" t="str">
        <f ca="1">Sprache!$A$58</f>
        <v>TIOMOS hinge TT-Impresso</v>
      </c>
      <c r="K269" t="s">
        <v>159</v>
      </c>
      <c r="L269" t="str">
        <f ca="1">Sprache!$A$62</f>
        <v>TIOMOS Impresso hinges</v>
      </c>
      <c r="M269">
        <v>19</v>
      </c>
      <c r="N269" t="s">
        <v>15</v>
      </c>
      <c r="O269">
        <v>120</v>
      </c>
      <c r="P269">
        <v>0</v>
      </c>
      <c r="Q269">
        <v>0</v>
      </c>
      <c r="R269">
        <v>1</v>
      </c>
      <c r="S269">
        <v>0</v>
      </c>
      <c r="T269">
        <v>0</v>
      </c>
      <c r="U269">
        <v>1</v>
      </c>
      <c r="V269" s="14" t="s">
        <v>250</v>
      </c>
    </row>
    <row r="270" spans="1:22" ht="14.25" customHeight="1" x14ac:dyDescent="0.25">
      <c r="A270" s="48" t="str">
        <f>LEFT(Tabelle1[[#This Row],[Artikel'#]],4)</f>
        <v>F035</v>
      </c>
      <c r="B270" s="46" t="str">
        <f>MID(Tabelle1[[#This Row],[Artikel'#]],5,3)</f>
        <v>139</v>
      </c>
      <c r="C270" s="48" t="str">
        <f>RIGHT(Tabelle1[[#This Row],[Artikel'#]],3)</f>
        <v>560</v>
      </c>
      <c r="D270" s="46">
        <f>IF(Tabelle1[[#This Row],[Winkel2]]=select!$A$2,1,0)</f>
        <v>0</v>
      </c>
      <c r="E2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0" s="46">
        <f>IF(select!$E$16=IF(Tabelle1[[#This Row],[mit Dämpfung]]=1,1,IF(Tabelle1[[#This Row],[ohne Dämpfung]]=1,2,IF(Tabelle1[[#This Row],[ohne Feder]]=1,3,0))),1,0)</f>
        <v>0</v>
      </c>
      <c r="G270" s="46">
        <f>IF(Tabelle1[[#This Row],[Links]]=select!$I$2,1,0)</f>
        <v>0</v>
      </c>
      <c r="H270" s="46">
        <f>IF(IF(Tabelle1[[#This Row],[Anschrauben]]=1,1,IF(Tabelle1[[#This Row],[Einpressen]]=1,2,IF(Tabelle1[[#This Row],[Werkzeuglos]]=1,3,0)))=select!$E$7,1,0)</f>
        <v>0</v>
      </c>
      <c r="I270" s="46">
        <f ca="1">IF(Tabelle1[[#This Row],[Winkel]]+Tabelle1[[#This Row],[Kröpfung]]+Tabelle1[[#This Row],[Däpfung]]+Tabelle1[[#This Row],[Bohrbild]]+Tabelle1[[#This Row],[Scharnierbefestigung]]=5,1,0)</f>
        <v>0</v>
      </c>
      <c r="J270" t="str">
        <f ca="1">Sprache!$A$58</f>
        <v>TIOMOS hinge TT-Impresso</v>
      </c>
      <c r="K270" t="s">
        <v>161</v>
      </c>
      <c r="L270" t="str">
        <f ca="1">Sprache!$A$62</f>
        <v>TIOMOS Impresso hinges</v>
      </c>
      <c r="M270">
        <v>19</v>
      </c>
      <c r="N270" t="s">
        <v>13</v>
      </c>
      <c r="O270">
        <v>120</v>
      </c>
      <c r="P270">
        <v>0</v>
      </c>
      <c r="Q270">
        <v>0</v>
      </c>
      <c r="R270">
        <v>1</v>
      </c>
      <c r="S270">
        <v>0</v>
      </c>
      <c r="T270">
        <v>0</v>
      </c>
      <c r="U270">
        <v>1</v>
      </c>
      <c r="V270" s="14" t="s">
        <v>251</v>
      </c>
    </row>
    <row r="271" spans="1:22" ht="14.25" customHeight="1" x14ac:dyDescent="0.25">
      <c r="A271" s="48" t="str">
        <f>LEFT(Tabelle1[[#This Row],[Artikel'#]],4)</f>
        <v>F035</v>
      </c>
      <c r="B271" s="46" t="str">
        <f>MID(Tabelle1[[#This Row],[Artikel'#]],5,3)</f>
        <v>139</v>
      </c>
      <c r="C271" s="48" t="str">
        <f>RIGHT(Tabelle1[[#This Row],[Artikel'#]],3)</f>
        <v>560</v>
      </c>
      <c r="D271" s="46">
        <f>IF(Tabelle1[[#This Row],[Winkel2]]=select!$A$2,1,0)</f>
        <v>0</v>
      </c>
      <c r="E2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1" s="46">
        <f>IF(select!$E$16=IF(Tabelle1[[#This Row],[mit Dämpfung]]=1,1,IF(Tabelle1[[#This Row],[ohne Dämpfung]]=1,2,IF(Tabelle1[[#This Row],[ohne Feder]]=1,3,0))),1,0)</f>
        <v>0</v>
      </c>
      <c r="G271" s="46">
        <f>IF(Tabelle1[[#This Row],[Links]]=select!$I$2,1,0)</f>
        <v>1</v>
      </c>
      <c r="H271" s="46">
        <f>IF(IF(Tabelle1[[#This Row],[Anschrauben]]=1,1,IF(Tabelle1[[#This Row],[Einpressen]]=1,2,IF(Tabelle1[[#This Row],[Werkzeuglos]]=1,3,0)))=select!$E$7,1,0)</f>
        <v>0</v>
      </c>
      <c r="I271" s="46">
        <f ca="1">IF(Tabelle1[[#This Row],[Winkel]]+Tabelle1[[#This Row],[Kröpfung]]+Tabelle1[[#This Row],[Däpfung]]+Tabelle1[[#This Row],[Bohrbild]]+Tabelle1[[#This Row],[Scharnierbefestigung]]=5,1,0)</f>
        <v>0</v>
      </c>
      <c r="J271" t="str">
        <f ca="1">Sprache!$A$58</f>
        <v>TIOMOS hinge TT-Impresso</v>
      </c>
      <c r="K271" t="s">
        <v>161</v>
      </c>
      <c r="L271" t="str">
        <f ca="1">Sprache!$A$62</f>
        <v>TIOMOS Impresso hinges</v>
      </c>
      <c r="M271">
        <v>19</v>
      </c>
      <c r="N271" t="s">
        <v>3</v>
      </c>
      <c r="O271">
        <v>120</v>
      </c>
      <c r="P271">
        <v>0</v>
      </c>
      <c r="Q271">
        <v>0</v>
      </c>
      <c r="R271">
        <v>1</v>
      </c>
      <c r="S271">
        <v>0</v>
      </c>
      <c r="T271">
        <v>0</v>
      </c>
      <c r="U271">
        <v>1</v>
      </c>
      <c r="V271" s="14" t="s">
        <v>251</v>
      </c>
    </row>
    <row r="272" spans="1:22" ht="14.25" customHeight="1" x14ac:dyDescent="0.25">
      <c r="A272" s="48" t="str">
        <f>LEFT(Tabelle1[[#This Row],[Artikel'#]],4)</f>
        <v>F028</v>
      </c>
      <c r="B272" s="46" t="str">
        <f>MID(Tabelle1[[#This Row],[Artikel'#]],5,3)</f>
        <v>138</v>
      </c>
      <c r="C272" s="48" t="str">
        <f>RIGHT(Tabelle1[[#This Row],[Artikel'#]],3)</f>
        <v>093</v>
      </c>
      <c r="D272" s="46">
        <f>IF(Tabelle1[[#This Row],[Winkel2]]=select!$A$2,1,0)</f>
        <v>1</v>
      </c>
      <c r="E2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2" s="46">
        <f>IF(select!$E$16=IF(Tabelle1[[#This Row],[mit Dämpfung]]=1,1,IF(Tabelle1[[#This Row],[ohne Dämpfung]]=1,2,IF(Tabelle1[[#This Row],[ohne Feder]]=1,3,0))),1,0)</f>
        <v>1</v>
      </c>
      <c r="G272" s="46">
        <f>IF(Tabelle1[[#This Row],[Links]]=select!$I$2,1,0)</f>
        <v>0</v>
      </c>
      <c r="H272" s="46">
        <f>IF(IF(Tabelle1[[#This Row],[Anschrauben]]=1,1,IF(Tabelle1[[#This Row],[Einpressen]]=1,2,IF(Tabelle1[[#This Row],[Werkzeuglos]]=1,3,0)))=select!$E$7,1,0)</f>
        <v>0</v>
      </c>
      <c r="I272" s="46">
        <f ca="1">IF(Tabelle1[[#This Row],[Winkel]]+Tabelle1[[#This Row],[Kröpfung]]+Tabelle1[[#This Row],[Däpfung]]+Tabelle1[[#This Row],[Bohrbild]]+Tabelle1[[#This Row],[Scharnierbefestigung]]=5,1,0)</f>
        <v>0</v>
      </c>
      <c r="J272" t="str">
        <f ca="1">Sprache!$A$55</f>
        <v>TIOMOS hinge TS-Click-on</v>
      </c>
      <c r="K272" t="s">
        <v>254</v>
      </c>
      <c r="L272" t="str">
        <f ca="1">Sprache!$A$63</f>
        <v>TIOMOS Click-on hinges</v>
      </c>
      <c r="M272">
        <v>0</v>
      </c>
      <c r="N272" t="s">
        <v>12</v>
      </c>
      <c r="O272">
        <v>110</v>
      </c>
      <c r="P272">
        <v>1</v>
      </c>
      <c r="Q272">
        <v>0</v>
      </c>
      <c r="R272">
        <v>0</v>
      </c>
      <c r="S272">
        <v>1</v>
      </c>
      <c r="T272">
        <v>0</v>
      </c>
      <c r="U272">
        <v>0</v>
      </c>
      <c r="V272" s="14" t="s">
        <v>252</v>
      </c>
    </row>
    <row r="273" spans="1:22" ht="14.25" customHeight="1" x14ac:dyDescent="0.25">
      <c r="A273" s="48" t="str">
        <f>LEFT(Tabelle1[[#This Row],[Artikel'#]],4)</f>
        <v>F028</v>
      </c>
      <c r="B273" s="46" t="str">
        <f>MID(Tabelle1[[#This Row],[Artikel'#]],5,3)</f>
        <v>138</v>
      </c>
      <c r="C273" s="48" t="str">
        <f>RIGHT(Tabelle1[[#This Row],[Artikel'#]],3)</f>
        <v>094</v>
      </c>
      <c r="D273" s="46">
        <f>IF(Tabelle1[[#This Row],[Winkel2]]=select!$A$2,1,0)</f>
        <v>1</v>
      </c>
      <c r="E2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3" s="46">
        <f>IF(select!$E$16=IF(Tabelle1[[#This Row],[mit Dämpfung]]=1,1,IF(Tabelle1[[#This Row],[ohne Dämpfung]]=1,2,IF(Tabelle1[[#This Row],[ohne Feder]]=1,3,0))),1,0)</f>
        <v>1</v>
      </c>
      <c r="G273" s="46">
        <f>IF(Tabelle1[[#This Row],[Links]]=select!$I$2,1,0)</f>
        <v>0</v>
      </c>
      <c r="H273" s="46">
        <f>IF(IF(Tabelle1[[#This Row],[Anschrauben]]=1,1,IF(Tabelle1[[#This Row],[Einpressen]]=1,2,IF(Tabelle1[[#This Row],[Werkzeuglos]]=1,3,0)))=select!$E$7,1,0)</f>
        <v>0</v>
      </c>
      <c r="I273" s="46">
        <f ca="1">IF(Tabelle1[[#This Row],[Winkel]]+Tabelle1[[#This Row],[Kröpfung]]+Tabelle1[[#This Row],[Däpfung]]+Tabelle1[[#This Row],[Bohrbild]]+Tabelle1[[#This Row],[Scharnierbefestigung]]=5,1,0)</f>
        <v>0</v>
      </c>
      <c r="J273" t="str">
        <f ca="1">Sprache!$A$55</f>
        <v>TIOMOS hinge TS-Click-on</v>
      </c>
      <c r="K273" t="s">
        <v>257</v>
      </c>
      <c r="L273" t="str">
        <f ca="1">Sprache!$A$63</f>
        <v>TIOMOS Click-on hinges</v>
      </c>
      <c r="M273">
        <v>3</v>
      </c>
      <c r="N273" t="s">
        <v>12</v>
      </c>
      <c r="O273">
        <v>110</v>
      </c>
      <c r="P273">
        <v>1</v>
      </c>
      <c r="Q273">
        <v>0</v>
      </c>
      <c r="R273">
        <v>0</v>
      </c>
      <c r="S273">
        <v>1</v>
      </c>
      <c r="T273">
        <v>0</v>
      </c>
      <c r="U273">
        <v>0</v>
      </c>
      <c r="V273" s="14" t="s">
        <v>256</v>
      </c>
    </row>
    <row r="274" spans="1:22" ht="14.25" customHeight="1" x14ac:dyDescent="0.25">
      <c r="A274" s="48" t="str">
        <f>LEFT(Tabelle1[[#This Row],[Artikel'#]],4)</f>
        <v>F028</v>
      </c>
      <c r="B274" s="46" t="str">
        <f>MID(Tabelle1[[#This Row],[Artikel'#]],5,3)</f>
        <v>138</v>
      </c>
      <c r="C274" s="48" t="str">
        <f>RIGHT(Tabelle1[[#This Row],[Artikel'#]],3)</f>
        <v>095</v>
      </c>
      <c r="D274" s="46">
        <f>IF(Tabelle1[[#This Row],[Winkel2]]=select!$A$2,1,0)</f>
        <v>1</v>
      </c>
      <c r="E2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74" s="46">
        <f>IF(select!$E$16=IF(Tabelle1[[#This Row],[mit Dämpfung]]=1,1,IF(Tabelle1[[#This Row],[ohne Dämpfung]]=1,2,IF(Tabelle1[[#This Row],[ohne Feder]]=1,3,0))),1,0)</f>
        <v>1</v>
      </c>
      <c r="G274" s="46">
        <f>IF(Tabelle1[[#This Row],[Links]]=select!$I$2,1,0)</f>
        <v>0</v>
      </c>
      <c r="H274" s="46">
        <f>IF(IF(Tabelle1[[#This Row],[Anschrauben]]=1,1,IF(Tabelle1[[#This Row],[Einpressen]]=1,2,IF(Tabelle1[[#This Row],[Werkzeuglos]]=1,3,0)))=select!$E$7,1,0)</f>
        <v>0</v>
      </c>
      <c r="I274" s="46">
        <f ca="1">IF(Tabelle1[[#This Row],[Winkel]]+Tabelle1[[#This Row],[Kröpfung]]+Tabelle1[[#This Row],[Däpfung]]+Tabelle1[[#This Row],[Bohrbild]]+Tabelle1[[#This Row],[Scharnierbefestigung]]=5,1,0)</f>
        <v>0</v>
      </c>
      <c r="J274" t="str">
        <f ca="1">Sprache!$A$55</f>
        <v>TIOMOS hinge TS-Click-on</v>
      </c>
      <c r="K274" t="s">
        <v>259</v>
      </c>
      <c r="L274" t="str">
        <f ca="1">Sprache!$A$63</f>
        <v>TIOMOS Click-on hinges</v>
      </c>
      <c r="M274">
        <v>9.5</v>
      </c>
      <c r="N274" t="s">
        <v>12</v>
      </c>
      <c r="O274">
        <v>110</v>
      </c>
      <c r="P274">
        <v>1</v>
      </c>
      <c r="Q274">
        <v>0</v>
      </c>
      <c r="R274">
        <v>0</v>
      </c>
      <c r="S274">
        <v>1</v>
      </c>
      <c r="T274">
        <v>0</v>
      </c>
      <c r="U274">
        <v>0</v>
      </c>
      <c r="V274" s="14" t="s">
        <v>258</v>
      </c>
    </row>
    <row r="275" spans="1:22" ht="14.25" customHeight="1" x14ac:dyDescent="0.25">
      <c r="A275" s="48" t="str">
        <f>LEFT(Tabelle1[[#This Row],[Artikel'#]],4)</f>
        <v>F028</v>
      </c>
      <c r="B275" s="46" t="str">
        <f>MID(Tabelle1[[#This Row],[Artikel'#]],5,3)</f>
        <v>138</v>
      </c>
      <c r="C275" s="48" t="str">
        <f>RIGHT(Tabelle1[[#This Row],[Artikel'#]],3)</f>
        <v>096</v>
      </c>
      <c r="D275" s="46">
        <f>IF(Tabelle1[[#This Row],[Winkel2]]=select!$A$2,1,0)</f>
        <v>1</v>
      </c>
      <c r="E2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5" s="46">
        <f>IF(select!$E$16=IF(Tabelle1[[#This Row],[mit Dämpfung]]=1,1,IF(Tabelle1[[#This Row],[ohne Dämpfung]]=1,2,IF(Tabelle1[[#This Row],[ohne Feder]]=1,3,0))),1,0)</f>
        <v>1</v>
      </c>
      <c r="G275" s="46">
        <f>IF(Tabelle1[[#This Row],[Links]]=select!$I$2,1,0)</f>
        <v>0</v>
      </c>
      <c r="H275" s="46">
        <f>IF(IF(Tabelle1[[#This Row],[Anschrauben]]=1,1,IF(Tabelle1[[#This Row],[Einpressen]]=1,2,IF(Tabelle1[[#This Row],[Werkzeuglos]]=1,3,0)))=select!$E$7,1,0)</f>
        <v>0</v>
      </c>
      <c r="I275" s="46">
        <f ca="1">IF(Tabelle1[[#This Row],[Winkel]]+Tabelle1[[#This Row],[Kröpfung]]+Tabelle1[[#This Row],[Däpfung]]+Tabelle1[[#This Row],[Bohrbild]]+Tabelle1[[#This Row],[Scharnierbefestigung]]=5,1,0)</f>
        <v>0</v>
      </c>
      <c r="J275" t="str">
        <f ca="1">Sprache!$A$55</f>
        <v>TIOMOS hinge TS-Click-on</v>
      </c>
      <c r="K275" t="s">
        <v>261</v>
      </c>
      <c r="L275" t="str">
        <f ca="1">Sprache!$A$63</f>
        <v>TIOMOS Click-on hinges</v>
      </c>
      <c r="M275">
        <v>19</v>
      </c>
      <c r="N275" t="s">
        <v>12</v>
      </c>
      <c r="O275">
        <v>110</v>
      </c>
      <c r="P275">
        <v>1</v>
      </c>
      <c r="Q275">
        <v>0</v>
      </c>
      <c r="R275">
        <v>0</v>
      </c>
      <c r="S275">
        <v>1</v>
      </c>
      <c r="T275">
        <v>0</v>
      </c>
      <c r="U275">
        <v>0</v>
      </c>
      <c r="V275" s="14" t="s">
        <v>260</v>
      </c>
    </row>
    <row r="276" spans="1:22" ht="14.25" customHeight="1" x14ac:dyDescent="0.25">
      <c r="A276" s="48" t="str">
        <f>LEFT(Tabelle1[[#This Row],[Artikel'#]],4)</f>
        <v>F028</v>
      </c>
      <c r="B276" s="46" t="str">
        <f>MID(Tabelle1[[#This Row],[Artikel'#]],5,3)</f>
        <v>138</v>
      </c>
      <c r="C276" s="48" t="str">
        <f>RIGHT(Tabelle1[[#This Row],[Artikel'#]],3)</f>
        <v>097</v>
      </c>
      <c r="D276" s="46">
        <f>IF(Tabelle1[[#This Row],[Winkel2]]=select!$A$2,1,0)</f>
        <v>1</v>
      </c>
      <c r="E2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6" s="46">
        <f>IF(select!$E$16=IF(Tabelle1[[#This Row],[mit Dämpfung]]=1,1,IF(Tabelle1[[#This Row],[ohne Dämpfung]]=1,2,IF(Tabelle1[[#This Row],[ohne Feder]]=1,3,0))),1,0)</f>
        <v>1</v>
      </c>
      <c r="G276" s="46">
        <f>IF(Tabelle1[[#This Row],[Links]]=select!$I$2,1,0)</f>
        <v>0</v>
      </c>
      <c r="H276" s="46">
        <f>IF(IF(Tabelle1[[#This Row],[Anschrauben]]=1,1,IF(Tabelle1[[#This Row],[Einpressen]]=1,2,IF(Tabelle1[[#This Row],[Werkzeuglos]]=1,3,0)))=select!$E$7,1,0)</f>
        <v>1</v>
      </c>
      <c r="I276" s="46">
        <f ca="1">IF(Tabelle1[[#This Row],[Winkel]]+Tabelle1[[#This Row],[Kröpfung]]+Tabelle1[[#This Row],[Däpfung]]+Tabelle1[[#This Row],[Bohrbild]]+Tabelle1[[#This Row],[Scharnierbefestigung]]=5,1,0)</f>
        <v>0</v>
      </c>
      <c r="J276" t="str">
        <f ca="1">Sprache!$A$55</f>
        <v>TIOMOS hinge TS-Click-on</v>
      </c>
      <c r="K276" t="str">
        <f ca="1">"110°, M-BB, K00, "&amp;Sprache!A59&amp;", ni"</f>
        <v>110°, M-BB, K00, Dowel, ni</v>
      </c>
      <c r="L276" t="str">
        <f ca="1">Sprache!$A$63</f>
        <v>TIOMOS Click-on hinges</v>
      </c>
      <c r="M276">
        <v>0</v>
      </c>
      <c r="N276" t="s">
        <v>12</v>
      </c>
      <c r="O276">
        <v>110</v>
      </c>
      <c r="P276">
        <v>1</v>
      </c>
      <c r="Q276">
        <v>0</v>
      </c>
      <c r="R276">
        <v>0</v>
      </c>
      <c r="S276">
        <v>0</v>
      </c>
      <c r="T276">
        <v>1</v>
      </c>
      <c r="U276">
        <v>0</v>
      </c>
      <c r="V276" s="14" t="s">
        <v>262</v>
      </c>
    </row>
    <row r="277" spans="1:22" ht="14.25" customHeight="1" x14ac:dyDescent="0.25">
      <c r="A277" s="48" t="str">
        <f>LEFT(Tabelle1[[#This Row],[Artikel'#]],4)</f>
        <v>F028</v>
      </c>
      <c r="B277" s="46" t="str">
        <f>MID(Tabelle1[[#This Row],[Artikel'#]],5,3)</f>
        <v>138</v>
      </c>
      <c r="C277" s="48" t="str">
        <f>RIGHT(Tabelle1[[#This Row],[Artikel'#]],3)</f>
        <v>098</v>
      </c>
      <c r="D277" s="46">
        <f>IF(Tabelle1[[#This Row],[Winkel2]]=select!$A$2,1,0)</f>
        <v>1</v>
      </c>
      <c r="E2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7" s="46">
        <f>IF(select!$E$16=IF(Tabelle1[[#This Row],[mit Dämpfung]]=1,1,IF(Tabelle1[[#This Row],[ohne Dämpfung]]=1,2,IF(Tabelle1[[#This Row],[ohne Feder]]=1,3,0))),1,0)</f>
        <v>1</v>
      </c>
      <c r="G277" s="46">
        <f>IF(Tabelle1[[#This Row],[Links]]=select!$I$2,1,0)</f>
        <v>0</v>
      </c>
      <c r="H277" s="46">
        <f>IF(IF(Tabelle1[[#This Row],[Anschrauben]]=1,1,IF(Tabelle1[[#This Row],[Einpressen]]=1,2,IF(Tabelle1[[#This Row],[Werkzeuglos]]=1,3,0)))=select!$E$7,1,0)</f>
        <v>1</v>
      </c>
      <c r="I277" s="46">
        <f ca="1">IF(Tabelle1[[#This Row],[Winkel]]+Tabelle1[[#This Row],[Kröpfung]]+Tabelle1[[#This Row],[Däpfung]]+Tabelle1[[#This Row],[Bohrbild]]+Tabelle1[[#This Row],[Scharnierbefestigung]]=5,1,0)</f>
        <v>0</v>
      </c>
      <c r="J277" t="str">
        <f ca="1">Sprache!$A$55</f>
        <v>TIOMOS hinge TS-Click-on</v>
      </c>
      <c r="K277" t="str">
        <f ca="1">"110°, M-BB, K03, "&amp;Sprache!A59&amp;", ni"</f>
        <v>110°, M-BB, K03, Dowel, ni</v>
      </c>
      <c r="L277" t="str">
        <f ca="1">Sprache!$A$63</f>
        <v>TIOMOS Click-on hinges</v>
      </c>
      <c r="M277">
        <v>3</v>
      </c>
      <c r="N277" t="s">
        <v>12</v>
      </c>
      <c r="O277">
        <v>110</v>
      </c>
      <c r="P277">
        <v>1</v>
      </c>
      <c r="Q277">
        <v>0</v>
      </c>
      <c r="R277">
        <v>0</v>
      </c>
      <c r="S277">
        <v>0</v>
      </c>
      <c r="T277">
        <v>1</v>
      </c>
      <c r="U277">
        <v>0</v>
      </c>
      <c r="V277" s="14" t="s">
        <v>263</v>
      </c>
    </row>
    <row r="278" spans="1:22" ht="14.25" customHeight="1" x14ac:dyDescent="0.25">
      <c r="A278" s="48" t="str">
        <f>LEFT(Tabelle1[[#This Row],[Artikel'#]],4)</f>
        <v>F028</v>
      </c>
      <c r="B278" s="46" t="str">
        <f>MID(Tabelle1[[#This Row],[Artikel'#]],5,3)</f>
        <v>138</v>
      </c>
      <c r="C278" s="48" t="str">
        <f>RIGHT(Tabelle1[[#This Row],[Artikel'#]],3)</f>
        <v>099</v>
      </c>
      <c r="D278" s="46">
        <f>IF(Tabelle1[[#This Row],[Winkel2]]=select!$A$2,1,0)</f>
        <v>1</v>
      </c>
      <c r="E2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78" s="46">
        <f>IF(select!$E$16=IF(Tabelle1[[#This Row],[mit Dämpfung]]=1,1,IF(Tabelle1[[#This Row],[ohne Dämpfung]]=1,2,IF(Tabelle1[[#This Row],[ohne Feder]]=1,3,0))),1,0)</f>
        <v>1</v>
      </c>
      <c r="G278" s="46">
        <f>IF(Tabelle1[[#This Row],[Links]]=select!$I$2,1,0)</f>
        <v>0</v>
      </c>
      <c r="H278" s="46">
        <f>IF(IF(Tabelle1[[#This Row],[Anschrauben]]=1,1,IF(Tabelle1[[#This Row],[Einpressen]]=1,2,IF(Tabelle1[[#This Row],[Werkzeuglos]]=1,3,0)))=select!$E$7,1,0)</f>
        <v>1</v>
      </c>
      <c r="I278" s="46">
        <f ca="1">IF(Tabelle1[[#This Row],[Winkel]]+Tabelle1[[#This Row],[Kröpfung]]+Tabelle1[[#This Row],[Däpfung]]+Tabelle1[[#This Row],[Bohrbild]]+Tabelle1[[#This Row],[Scharnierbefestigung]]=5,1,0)</f>
        <v>0</v>
      </c>
      <c r="J278" t="str">
        <f ca="1">Sprache!$A$55</f>
        <v>TIOMOS hinge TS-Click-on</v>
      </c>
      <c r="K278" t="str">
        <f ca="1">"110°, M-BB, K95, "&amp;Sprache!A59&amp;", ni"</f>
        <v>110°, M-BB, K95, Dowel, ni</v>
      </c>
      <c r="L278" t="str">
        <f ca="1">Sprache!$A$63</f>
        <v>TIOMOS Click-on hinges</v>
      </c>
      <c r="M278">
        <v>9.5</v>
      </c>
      <c r="N278" t="s">
        <v>12</v>
      </c>
      <c r="O278">
        <v>110</v>
      </c>
      <c r="P278">
        <v>1</v>
      </c>
      <c r="Q278">
        <v>0</v>
      </c>
      <c r="R278">
        <v>0</v>
      </c>
      <c r="S278">
        <v>0</v>
      </c>
      <c r="T278">
        <v>1</v>
      </c>
      <c r="U278">
        <v>0</v>
      </c>
      <c r="V278" s="14" t="s">
        <v>264</v>
      </c>
    </row>
    <row r="279" spans="1:22" ht="14.25" customHeight="1" x14ac:dyDescent="0.25">
      <c r="A279" s="48" t="str">
        <f>LEFT(Tabelle1[[#This Row],[Artikel'#]],4)</f>
        <v>F028</v>
      </c>
      <c r="B279" s="46" t="str">
        <f>MID(Tabelle1[[#This Row],[Artikel'#]],5,3)</f>
        <v>138</v>
      </c>
      <c r="C279" s="48" t="str">
        <f>RIGHT(Tabelle1[[#This Row],[Artikel'#]],3)</f>
        <v>100</v>
      </c>
      <c r="D279" s="46">
        <f>IF(Tabelle1[[#This Row],[Winkel2]]=select!$A$2,1,0)</f>
        <v>1</v>
      </c>
      <c r="E2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79" s="46">
        <f>IF(select!$E$16=IF(Tabelle1[[#This Row],[mit Dämpfung]]=1,1,IF(Tabelle1[[#This Row],[ohne Dämpfung]]=1,2,IF(Tabelle1[[#This Row],[ohne Feder]]=1,3,0))),1,0)</f>
        <v>1</v>
      </c>
      <c r="G279" s="46">
        <f>IF(Tabelle1[[#This Row],[Links]]=select!$I$2,1,0)</f>
        <v>0</v>
      </c>
      <c r="H279" s="46">
        <f>IF(IF(Tabelle1[[#This Row],[Anschrauben]]=1,1,IF(Tabelle1[[#This Row],[Einpressen]]=1,2,IF(Tabelle1[[#This Row],[Werkzeuglos]]=1,3,0)))=select!$E$7,1,0)</f>
        <v>1</v>
      </c>
      <c r="I279" s="46">
        <f ca="1">IF(Tabelle1[[#This Row],[Winkel]]+Tabelle1[[#This Row],[Kröpfung]]+Tabelle1[[#This Row],[Däpfung]]+Tabelle1[[#This Row],[Bohrbild]]+Tabelle1[[#This Row],[Scharnierbefestigung]]=5,1,0)</f>
        <v>0</v>
      </c>
      <c r="J279" t="str">
        <f ca="1">Sprache!$A$55</f>
        <v>TIOMOS hinge TS-Click-on</v>
      </c>
      <c r="K279" t="str">
        <f ca="1">"110°, M-BB, K19, "&amp;Sprache!A59&amp;", ni"</f>
        <v>110°, M-BB, K19, Dowel, ni</v>
      </c>
      <c r="L279" t="str">
        <f ca="1">Sprache!$A$63</f>
        <v>TIOMOS Click-on hinges</v>
      </c>
      <c r="M279">
        <v>19</v>
      </c>
      <c r="N279" t="s">
        <v>12</v>
      </c>
      <c r="O279">
        <v>110</v>
      </c>
      <c r="P279">
        <v>1</v>
      </c>
      <c r="Q279">
        <v>0</v>
      </c>
      <c r="R279">
        <v>0</v>
      </c>
      <c r="S279">
        <v>0</v>
      </c>
      <c r="T279">
        <v>1</v>
      </c>
      <c r="U279">
        <v>0</v>
      </c>
      <c r="V279" s="14" t="s">
        <v>265</v>
      </c>
    </row>
    <row r="280" spans="1:22" ht="14.25" customHeight="1" x14ac:dyDescent="0.25">
      <c r="A280" s="48" t="str">
        <f>LEFT(Tabelle1[[#This Row],[Artikel'#]],4)</f>
        <v>F028</v>
      </c>
      <c r="B280" s="46" t="str">
        <f>MID(Tabelle1[[#This Row],[Artikel'#]],5,3)</f>
        <v>138</v>
      </c>
      <c r="C280" s="48" t="str">
        <f>RIGHT(Tabelle1[[#This Row],[Artikel'#]],3)</f>
        <v>121</v>
      </c>
      <c r="D280" s="46">
        <f>IF(Tabelle1[[#This Row],[Winkel2]]=select!$A$2,1,0)</f>
        <v>0</v>
      </c>
      <c r="E2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0" s="46">
        <f>IF(select!$E$16=IF(Tabelle1[[#This Row],[mit Dämpfung]]=1,1,IF(Tabelle1[[#This Row],[ohne Dämpfung]]=1,2,IF(Tabelle1[[#This Row],[ohne Feder]]=1,3,0))),1,0)</f>
        <v>1</v>
      </c>
      <c r="G280" s="46">
        <f>IF(Tabelle1[[#This Row],[Links]]=select!$I$2,1,0)</f>
        <v>0</v>
      </c>
      <c r="H280" s="46">
        <f>IF(IF(Tabelle1[[#This Row],[Anschrauben]]=1,1,IF(Tabelle1[[#This Row],[Einpressen]]=1,2,IF(Tabelle1[[#This Row],[Werkzeuglos]]=1,3,0)))=select!$E$7,1,0)</f>
        <v>0</v>
      </c>
      <c r="I280" s="46">
        <f ca="1">IF(Tabelle1[[#This Row],[Winkel]]+Tabelle1[[#This Row],[Kröpfung]]+Tabelle1[[#This Row],[Däpfung]]+Tabelle1[[#This Row],[Bohrbild]]+Tabelle1[[#This Row],[Scharnierbefestigung]]=5,1,0)</f>
        <v>0</v>
      </c>
      <c r="J280" t="str">
        <f ca="1">Sprache!$A$55</f>
        <v>TIOMOS hinge TS-Click-on</v>
      </c>
      <c r="K280" t="s">
        <v>267</v>
      </c>
      <c r="L280" t="str">
        <f ca="1">Sprache!$A$63</f>
        <v>TIOMOS Click-on hinges</v>
      </c>
      <c r="M280">
        <v>0</v>
      </c>
      <c r="N280" t="s">
        <v>12</v>
      </c>
      <c r="O280">
        <v>120</v>
      </c>
      <c r="P280">
        <v>1</v>
      </c>
      <c r="Q280">
        <v>0</v>
      </c>
      <c r="R280">
        <v>0</v>
      </c>
      <c r="S280">
        <v>1</v>
      </c>
      <c r="T280">
        <v>0</v>
      </c>
      <c r="U280">
        <v>0</v>
      </c>
      <c r="V280" s="14" t="s">
        <v>266</v>
      </c>
    </row>
    <row r="281" spans="1:22" ht="14.25" customHeight="1" x14ac:dyDescent="0.25">
      <c r="A281" s="48" t="str">
        <f>LEFT(Tabelle1[[#This Row],[Artikel'#]],4)</f>
        <v>F028</v>
      </c>
      <c r="B281" s="46" t="str">
        <f>MID(Tabelle1[[#This Row],[Artikel'#]],5,3)</f>
        <v>138</v>
      </c>
      <c r="C281" s="48" t="str">
        <f>RIGHT(Tabelle1[[#This Row],[Artikel'#]],3)</f>
        <v>122</v>
      </c>
      <c r="D281" s="46">
        <f>IF(Tabelle1[[#This Row],[Winkel2]]=select!$A$2,1,0)</f>
        <v>0</v>
      </c>
      <c r="E2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1" s="46">
        <f>IF(select!$E$16=IF(Tabelle1[[#This Row],[mit Dämpfung]]=1,1,IF(Tabelle1[[#This Row],[ohne Dämpfung]]=1,2,IF(Tabelle1[[#This Row],[ohne Feder]]=1,3,0))),1,0)</f>
        <v>1</v>
      </c>
      <c r="G281" s="46">
        <f>IF(Tabelle1[[#This Row],[Links]]=select!$I$2,1,0)</f>
        <v>0</v>
      </c>
      <c r="H281" s="46">
        <f>IF(IF(Tabelle1[[#This Row],[Anschrauben]]=1,1,IF(Tabelle1[[#This Row],[Einpressen]]=1,2,IF(Tabelle1[[#This Row],[Werkzeuglos]]=1,3,0)))=select!$E$7,1,0)</f>
        <v>0</v>
      </c>
      <c r="I281" s="46">
        <f ca="1">IF(Tabelle1[[#This Row],[Winkel]]+Tabelle1[[#This Row],[Kröpfung]]+Tabelle1[[#This Row],[Däpfung]]+Tabelle1[[#This Row],[Bohrbild]]+Tabelle1[[#This Row],[Scharnierbefestigung]]=5,1,0)</f>
        <v>0</v>
      </c>
      <c r="J281" t="str">
        <f ca="1">Sprache!$A$55</f>
        <v>TIOMOS hinge TS-Click-on</v>
      </c>
      <c r="K281" t="s">
        <v>269</v>
      </c>
      <c r="L281" t="str">
        <f ca="1">Sprache!$A$63</f>
        <v>TIOMOS Click-on hinges</v>
      </c>
      <c r="M281">
        <v>3</v>
      </c>
      <c r="N281" t="s">
        <v>12</v>
      </c>
      <c r="O281">
        <v>120</v>
      </c>
      <c r="P281">
        <v>1</v>
      </c>
      <c r="Q281">
        <v>0</v>
      </c>
      <c r="R281">
        <v>0</v>
      </c>
      <c r="S281">
        <v>1</v>
      </c>
      <c r="T281">
        <v>0</v>
      </c>
      <c r="U281">
        <v>0</v>
      </c>
      <c r="V281" s="14" t="s">
        <v>268</v>
      </c>
    </row>
    <row r="282" spans="1:22" ht="14.25" customHeight="1" x14ac:dyDescent="0.25">
      <c r="A282" s="48" t="str">
        <f>LEFT(Tabelle1[[#This Row],[Artikel'#]],4)</f>
        <v>F028</v>
      </c>
      <c r="B282" s="46" t="str">
        <f>MID(Tabelle1[[#This Row],[Artikel'#]],5,3)</f>
        <v>138</v>
      </c>
      <c r="C282" s="48" t="str">
        <f>RIGHT(Tabelle1[[#This Row],[Artikel'#]],3)</f>
        <v>123</v>
      </c>
      <c r="D282" s="46">
        <f>IF(Tabelle1[[#This Row],[Winkel2]]=select!$A$2,1,0)</f>
        <v>0</v>
      </c>
      <c r="E2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82" s="46">
        <f>IF(select!$E$16=IF(Tabelle1[[#This Row],[mit Dämpfung]]=1,1,IF(Tabelle1[[#This Row],[ohne Dämpfung]]=1,2,IF(Tabelle1[[#This Row],[ohne Feder]]=1,3,0))),1,0)</f>
        <v>1</v>
      </c>
      <c r="G282" s="46">
        <f>IF(Tabelle1[[#This Row],[Links]]=select!$I$2,1,0)</f>
        <v>0</v>
      </c>
      <c r="H282" s="46">
        <f>IF(IF(Tabelle1[[#This Row],[Anschrauben]]=1,1,IF(Tabelle1[[#This Row],[Einpressen]]=1,2,IF(Tabelle1[[#This Row],[Werkzeuglos]]=1,3,0)))=select!$E$7,1,0)</f>
        <v>0</v>
      </c>
      <c r="I282" s="46">
        <f ca="1">IF(Tabelle1[[#This Row],[Winkel]]+Tabelle1[[#This Row],[Kröpfung]]+Tabelle1[[#This Row],[Däpfung]]+Tabelle1[[#This Row],[Bohrbild]]+Tabelle1[[#This Row],[Scharnierbefestigung]]=5,1,0)</f>
        <v>0</v>
      </c>
      <c r="J282" t="str">
        <f ca="1">Sprache!$A$55</f>
        <v>TIOMOS hinge TS-Click-on</v>
      </c>
      <c r="K282" t="s">
        <v>271</v>
      </c>
      <c r="L282" t="str">
        <f ca="1">Sprache!$A$63</f>
        <v>TIOMOS Click-on hinges</v>
      </c>
      <c r="M282">
        <v>9.5</v>
      </c>
      <c r="N282" t="s">
        <v>12</v>
      </c>
      <c r="O282">
        <v>120</v>
      </c>
      <c r="P282">
        <v>1</v>
      </c>
      <c r="Q282">
        <v>0</v>
      </c>
      <c r="R282">
        <v>0</v>
      </c>
      <c r="S282">
        <v>1</v>
      </c>
      <c r="T282">
        <v>0</v>
      </c>
      <c r="U282">
        <v>0</v>
      </c>
      <c r="V282" s="14" t="s">
        <v>270</v>
      </c>
    </row>
    <row r="283" spans="1:22" ht="14.25" customHeight="1" x14ac:dyDescent="0.25">
      <c r="A283" s="48" t="str">
        <f>LEFT(Tabelle1[[#This Row],[Artikel'#]],4)</f>
        <v>F028</v>
      </c>
      <c r="B283" s="46" t="str">
        <f>MID(Tabelle1[[#This Row],[Artikel'#]],5,3)</f>
        <v>138</v>
      </c>
      <c r="C283" s="48" t="str">
        <f>RIGHT(Tabelle1[[#This Row],[Artikel'#]],3)</f>
        <v>125</v>
      </c>
      <c r="D283" s="46">
        <f>IF(Tabelle1[[#This Row],[Winkel2]]=select!$A$2,1,0)</f>
        <v>0</v>
      </c>
      <c r="E2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3" s="46">
        <f>IF(select!$E$16=IF(Tabelle1[[#This Row],[mit Dämpfung]]=1,1,IF(Tabelle1[[#This Row],[ohne Dämpfung]]=1,2,IF(Tabelle1[[#This Row],[ohne Feder]]=1,3,0))),1,0)</f>
        <v>1</v>
      </c>
      <c r="G283" s="46">
        <f>IF(Tabelle1[[#This Row],[Links]]=select!$I$2,1,0)</f>
        <v>0</v>
      </c>
      <c r="H283" s="46">
        <f>IF(IF(Tabelle1[[#This Row],[Anschrauben]]=1,1,IF(Tabelle1[[#This Row],[Einpressen]]=1,2,IF(Tabelle1[[#This Row],[Werkzeuglos]]=1,3,0)))=select!$E$7,1,0)</f>
        <v>1</v>
      </c>
      <c r="I283" s="46">
        <f ca="1">IF(Tabelle1[[#This Row],[Winkel]]+Tabelle1[[#This Row],[Kröpfung]]+Tabelle1[[#This Row],[Däpfung]]+Tabelle1[[#This Row],[Bohrbild]]+Tabelle1[[#This Row],[Scharnierbefestigung]]=5,1,0)</f>
        <v>0</v>
      </c>
      <c r="J283" t="str">
        <f ca="1">Sprache!$A$55</f>
        <v>TIOMOS hinge TS-Click-on</v>
      </c>
      <c r="K283" t="str">
        <f ca="1">"120°, M-BB, K00, "&amp;Sprache!A59&amp;", ni"</f>
        <v>120°, M-BB, K00, Dowel, ni</v>
      </c>
      <c r="L283" t="str">
        <f ca="1">Sprache!$A$63</f>
        <v>TIOMOS Click-on hinges</v>
      </c>
      <c r="M283">
        <v>0</v>
      </c>
      <c r="N283" t="s">
        <v>12</v>
      </c>
      <c r="O283">
        <v>120</v>
      </c>
      <c r="P283">
        <v>1</v>
      </c>
      <c r="Q283">
        <v>0</v>
      </c>
      <c r="R283">
        <v>0</v>
      </c>
      <c r="S283">
        <v>0</v>
      </c>
      <c r="T283">
        <v>1</v>
      </c>
      <c r="U283">
        <v>0</v>
      </c>
      <c r="V283" s="14" t="s">
        <v>272</v>
      </c>
    </row>
    <row r="284" spans="1:22" ht="14.25" customHeight="1" x14ac:dyDescent="0.25">
      <c r="A284" s="48" t="str">
        <f>LEFT(Tabelle1[[#This Row],[Artikel'#]],4)</f>
        <v>F028</v>
      </c>
      <c r="B284" s="46" t="str">
        <f>MID(Tabelle1[[#This Row],[Artikel'#]],5,3)</f>
        <v>138</v>
      </c>
      <c r="C284" s="48" t="str">
        <f>RIGHT(Tabelle1[[#This Row],[Artikel'#]],3)</f>
        <v>126</v>
      </c>
      <c r="D284" s="46">
        <f>IF(Tabelle1[[#This Row],[Winkel2]]=select!$A$2,1,0)</f>
        <v>0</v>
      </c>
      <c r="E2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4" s="46">
        <f>IF(select!$E$16=IF(Tabelle1[[#This Row],[mit Dämpfung]]=1,1,IF(Tabelle1[[#This Row],[ohne Dämpfung]]=1,2,IF(Tabelle1[[#This Row],[ohne Feder]]=1,3,0))),1,0)</f>
        <v>1</v>
      </c>
      <c r="G284" s="46">
        <f>IF(Tabelle1[[#This Row],[Links]]=select!$I$2,1,0)</f>
        <v>0</v>
      </c>
      <c r="H284" s="46">
        <f>IF(IF(Tabelle1[[#This Row],[Anschrauben]]=1,1,IF(Tabelle1[[#This Row],[Einpressen]]=1,2,IF(Tabelle1[[#This Row],[Werkzeuglos]]=1,3,0)))=select!$E$7,1,0)</f>
        <v>1</v>
      </c>
      <c r="I284" s="46">
        <f ca="1">IF(Tabelle1[[#This Row],[Winkel]]+Tabelle1[[#This Row],[Kröpfung]]+Tabelle1[[#This Row],[Däpfung]]+Tabelle1[[#This Row],[Bohrbild]]+Tabelle1[[#This Row],[Scharnierbefestigung]]=5,1,0)</f>
        <v>0</v>
      </c>
      <c r="J284" t="str">
        <f ca="1">Sprache!$A$55</f>
        <v>TIOMOS hinge TS-Click-on</v>
      </c>
      <c r="K284" t="str">
        <f ca="1">"120°, M-BB, K03, "&amp;Sprache!A59&amp;", ni"</f>
        <v>120°, M-BB, K03, Dowel, ni</v>
      </c>
      <c r="L284" t="str">
        <f ca="1">Sprache!$A$63</f>
        <v>TIOMOS Click-on hinges</v>
      </c>
      <c r="M284">
        <v>3</v>
      </c>
      <c r="N284" t="s">
        <v>12</v>
      </c>
      <c r="O284">
        <v>120</v>
      </c>
      <c r="P284">
        <v>1</v>
      </c>
      <c r="Q284">
        <v>0</v>
      </c>
      <c r="R284">
        <v>0</v>
      </c>
      <c r="S284">
        <v>0</v>
      </c>
      <c r="T284">
        <v>1</v>
      </c>
      <c r="U284">
        <v>0</v>
      </c>
      <c r="V284" s="14" t="s">
        <v>273</v>
      </c>
    </row>
    <row r="285" spans="1:22" ht="14.25" customHeight="1" x14ac:dyDescent="0.25">
      <c r="A285" s="48" t="str">
        <f>LEFT(Tabelle1[[#This Row],[Artikel'#]],4)</f>
        <v>F028</v>
      </c>
      <c r="B285" s="46" t="str">
        <f>MID(Tabelle1[[#This Row],[Artikel'#]],5,3)</f>
        <v>138</v>
      </c>
      <c r="C285" s="48" t="str">
        <f>RIGHT(Tabelle1[[#This Row],[Artikel'#]],3)</f>
        <v>127</v>
      </c>
      <c r="D285" s="46">
        <f>IF(Tabelle1[[#This Row],[Winkel2]]=select!$A$2,1,0)</f>
        <v>0</v>
      </c>
      <c r="E2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85" s="46">
        <f>IF(select!$E$16=IF(Tabelle1[[#This Row],[mit Dämpfung]]=1,1,IF(Tabelle1[[#This Row],[ohne Dämpfung]]=1,2,IF(Tabelle1[[#This Row],[ohne Feder]]=1,3,0))),1,0)</f>
        <v>1</v>
      </c>
      <c r="G285" s="46">
        <f>IF(Tabelle1[[#This Row],[Links]]=select!$I$2,1,0)</f>
        <v>0</v>
      </c>
      <c r="H285" s="46">
        <f>IF(IF(Tabelle1[[#This Row],[Anschrauben]]=1,1,IF(Tabelle1[[#This Row],[Einpressen]]=1,2,IF(Tabelle1[[#This Row],[Werkzeuglos]]=1,3,0)))=select!$E$7,1,0)</f>
        <v>1</v>
      </c>
      <c r="I285" s="46">
        <f ca="1">IF(Tabelle1[[#This Row],[Winkel]]+Tabelle1[[#This Row],[Kröpfung]]+Tabelle1[[#This Row],[Däpfung]]+Tabelle1[[#This Row],[Bohrbild]]+Tabelle1[[#This Row],[Scharnierbefestigung]]=5,1,0)</f>
        <v>0</v>
      </c>
      <c r="J285" t="str">
        <f ca="1">Sprache!$A$55</f>
        <v>TIOMOS hinge TS-Click-on</v>
      </c>
      <c r="K285" t="str">
        <f ca="1">"120°, M-BB, K95, "&amp;Sprache!A59&amp;", ni"</f>
        <v>120°, M-BB, K95, Dowel, ni</v>
      </c>
      <c r="L285" t="str">
        <f ca="1">Sprache!$A$63</f>
        <v>TIOMOS Click-on hinges</v>
      </c>
      <c r="M285">
        <v>9.5</v>
      </c>
      <c r="N285" t="s">
        <v>12</v>
      </c>
      <c r="O285">
        <v>120</v>
      </c>
      <c r="P285">
        <v>1</v>
      </c>
      <c r="Q285">
        <v>0</v>
      </c>
      <c r="R285">
        <v>0</v>
      </c>
      <c r="S285">
        <v>0</v>
      </c>
      <c r="T285">
        <v>1</v>
      </c>
      <c r="U285">
        <v>0</v>
      </c>
      <c r="V285" s="14" t="s">
        <v>274</v>
      </c>
    </row>
    <row r="286" spans="1:22" ht="14.25" customHeight="1" x14ac:dyDescent="0.25">
      <c r="A286" s="48" t="str">
        <f>LEFT(Tabelle1[[#This Row],[Artikel'#]],4)</f>
        <v>F028</v>
      </c>
      <c r="B286" s="46" t="str">
        <f>MID(Tabelle1[[#This Row],[Artikel'#]],5,3)</f>
        <v>138</v>
      </c>
      <c r="C286" s="48" t="str">
        <f>RIGHT(Tabelle1[[#This Row],[Artikel'#]],3)</f>
        <v>135</v>
      </c>
      <c r="D286" s="46">
        <f>IF(Tabelle1[[#This Row],[Winkel2]]=select!$A$2,1,0)</f>
        <v>0</v>
      </c>
      <c r="E2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6" s="46">
        <f>IF(select!$E$16=IF(Tabelle1[[#This Row],[mit Dämpfung]]=1,1,IF(Tabelle1[[#This Row],[ohne Dämpfung]]=1,2,IF(Tabelle1[[#This Row],[ohne Feder]]=1,3,0))),1,0)</f>
        <v>1</v>
      </c>
      <c r="G286" s="46">
        <f>IF(Tabelle1[[#This Row],[Links]]=select!$I$2,1,0)</f>
        <v>0</v>
      </c>
      <c r="H286" s="46">
        <f>IF(IF(Tabelle1[[#This Row],[Anschrauben]]=1,1,IF(Tabelle1[[#This Row],[Einpressen]]=1,2,IF(Tabelle1[[#This Row],[Werkzeuglos]]=1,3,0)))=select!$E$7,1,0)</f>
        <v>0</v>
      </c>
      <c r="I286" s="46">
        <f ca="1">IF(Tabelle1[[#This Row],[Winkel]]+Tabelle1[[#This Row],[Kröpfung]]+Tabelle1[[#This Row],[Däpfung]]+Tabelle1[[#This Row],[Bohrbild]]+Tabelle1[[#This Row],[Scharnierbefestigung]]=5,1,0)</f>
        <v>0</v>
      </c>
      <c r="J286" t="str">
        <f ca="1">Sprache!$A$55</f>
        <v>TIOMOS hinge TS-Click-on</v>
      </c>
      <c r="K286" t="s">
        <v>276</v>
      </c>
      <c r="L286" t="str">
        <f ca="1">Sprache!$A$63</f>
        <v>TIOMOS Click-on hinges</v>
      </c>
      <c r="M286">
        <v>0</v>
      </c>
      <c r="N286" s="13" t="s">
        <v>12</v>
      </c>
      <c r="O286">
        <v>160</v>
      </c>
      <c r="P286">
        <v>1</v>
      </c>
      <c r="Q286">
        <v>0</v>
      </c>
      <c r="R286">
        <v>0</v>
      </c>
      <c r="S286">
        <v>1</v>
      </c>
      <c r="T286">
        <v>0</v>
      </c>
      <c r="U286">
        <v>0</v>
      </c>
      <c r="V286" s="14" t="s">
        <v>275</v>
      </c>
    </row>
    <row r="287" spans="1:22" ht="14.25" customHeight="1" x14ac:dyDescent="0.25">
      <c r="A287" s="48" t="str">
        <f>LEFT(Tabelle1[[#This Row],[Artikel'#]],4)</f>
        <v>F028</v>
      </c>
      <c r="B287" s="46" t="str">
        <f>MID(Tabelle1[[#This Row],[Artikel'#]],5,3)</f>
        <v>138</v>
      </c>
      <c r="C287" s="48" t="str">
        <f>RIGHT(Tabelle1[[#This Row],[Artikel'#]],3)</f>
        <v>136</v>
      </c>
      <c r="D287" s="46">
        <f>IF(Tabelle1[[#This Row],[Winkel2]]=select!$A$2,1,0)</f>
        <v>0</v>
      </c>
      <c r="E2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7" s="46">
        <f>IF(select!$E$16=IF(Tabelle1[[#This Row],[mit Dämpfung]]=1,1,IF(Tabelle1[[#This Row],[ohne Dämpfung]]=1,2,IF(Tabelle1[[#This Row],[ohne Feder]]=1,3,0))),1,0)</f>
        <v>1</v>
      </c>
      <c r="G287" s="46">
        <f>IF(Tabelle1[[#This Row],[Links]]=select!$I$2,1,0)</f>
        <v>0</v>
      </c>
      <c r="H287" s="46">
        <f>IF(IF(Tabelle1[[#This Row],[Anschrauben]]=1,1,IF(Tabelle1[[#This Row],[Einpressen]]=1,2,IF(Tabelle1[[#This Row],[Werkzeuglos]]=1,3,0)))=select!$E$7,1,0)</f>
        <v>0</v>
      </c>
      <c r="I287" s="46">
        <f ca="1">IF(Tabelle1[[#This Row],[Winkel]]+Tabelle1[[#This Row],[Kröpfung]]+Tabelle1[[#This Row],[Däpfung]]+Tabelle1[[#This Row],[Bohrbild]]+Tabelle1[[#This Row],[Scharnierbefestigung]]=5,1,0)</f>
        <v>0</v>
      </c>
      <c r="J287" t="str">
        <f ca="1">Sprache!$A$55</f>
        <v>TIOMOS hinge TS-Click-on</v>
      </c>
      <c r="K287" t="s">
        <v>278</v>
      </c>
      <c r="L287" t="str">
        <f ca="1">Sprache!$A$63</f>
        <v>TIOMOS Click-on hinges</v>
      </c>
      <c r="M287">
        <v>3</v>
      </c>
      <c r="N287" t="s">
        <v>12</v>
      </c>
      <c r="O287">
        <v>160</v>
      </c>
      <c r="P287">
        <v>1</v>
      </c>
      <c r="Q287">
        <v>0</v>
      </c>
      <c r="R287">
        <v>0</v>
      </c>
      <c r="S287">
        <v>1</v>
      </c>
      <c r="T287">
        <v>0</v>
      </c>
      <c r="U287">
        <v>0</v>
      </c>
      <c r="V287" s="14" t="s">
        <v>277</v>
      </c>
    </row>
    <row r="288" spans="1:22" ht="14.25" customHeight="1" x14ac:dyDescent="0.25">
      <c r="A288" s="48" t="str">
        <f>LEFT(Tabelle1[[#This Row],[Artikel'#]],4)</f>
        <v>F028</v>
      </c>
      <c r="B288" s="46" t="str">
        <f>MID(Tabelle1[[#This Row],[Artikel'#]],5,3)</f>
        <v>138</v>
      </c>
      <c r="C288" s="48" t="str">
        <f>RIGHT(Tabelle1[[#This Row],[Artikel'#]],3)</f>
        <v>137</v>
      </c>
      <c r="D288" s="46">
        <f>IF(Tabelle1[[#This Row],[Winkel2]]=select!$A$2,1,0)</f>
        <v>0</v>
      </c>
      <c r="E2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88" s="46">
        <f>IF(select!$E$16=IF(Tabelle1[[#This Row],[mit Dämpfung]]=1,1,IF(Tabelle1[[#This Row],[ohne Dämpfung]]=1,2,IF(Tabelle1[[#This Row],[ohne Feder]]=1,3,0))),1,0)</f>
        <v>1</v>
      </c>
      <c r="G288" s="46">
        <f>IF(Tabelle1[[#This Row],[Links]]=select!$I$2,1,0)</f>
        <v>0</v>
      </c>
      <c r="H288" s="46">
        <f>IF(IF(Tabelle1[[#This Row],[Anschrauben]]=1,1,IF(Tabelle1[[#This Row],[Einpressen]]=1,2,IF(Tabelle1[[#This Row],[Werkzeuglos]]=1,3,0)))=select!$E$7,1,0)</f>
        <v>0</v>
      </c>
      <c r="I288" s="46">
        <f ca="1">IF(Tabelle1[[#This Row],[Winkel]]+Tabelle1[[#This Row],[Kröpfung]]+Tabelle1[[#This Row],[Däpfung]]+Tabelle1[[#This Row],[Bohrbild]]+Tabelle1[[#This Row],[Scharnierbefestigung]]=5,1,0)</f>
        <v>0</v>
      </c>
      <c r="J288" t="str">
        <f ca="1">Sprache!$A$55</f>
        <v>TIOMOS hinge TS-Click-on</v>
      </c>
      <c r="K288" t="s">
        <v>280</v>
      </c>
      <c r="L288" t="str">
        <f ca="1">Sprache!$A$63</f>
        <v>TIOMOS Click-on hinges</v>
      </c>
      <c r="M288">
        <v>9.5</v>
      </c>
      <c r="N288" t="s">
        <v>12</v>
      </c>
      <c r="O288">
        <v>160</v>
      </c>
      <c r="P288">
        <v>1</v>
      </c>
      <c r="Q288">
        <v>0</v>
      </c>
      <c r="R288">
        <v>0</v>
      </c>
      <c r="S288">
        <v>1</v>
      </c>
      <c r="T288">
        <v>0</v>
      </c>
      <c r="U288">
        <v>0</v>
      </c>
      <c r="V288" s="14" t="s">
        <v>279</v>
      </c>
    </row>
    <row r="289" spans="1:22" ht="14.25" customHeight="1" x14ac:dyDescent="0.25">
      <c r="A289" s="48" t="str">
        <f>LEFT(Tabelle1[[#This Row],[Artikel'#]],4)</f>
        <v>F028</v>
      </c>
      <c r="B289" s="46" t="str">
        <f>MID(Tabelle1[[#This Row],[Artikel'#]],5,3)</f>
        <v>138</v>
      </c>
      <c r="C289" s="48" t="str">
        <f>RIGHT(Tabelle1[[#This Row],[Artikel'#]],3)</f>
        <v>138</v>
      </c>
      <c r="D289" s="46">
        <f>IF(Tabelle1[[#This Row],[Winkel2]]=select!$A$2,1,0)</f>
        <v>0</v>
      </c>
      <c r="E2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89" s="46">
        <f>IF(select!$E$16=IF(Tabelle1[[#This Row],[mit Dämpfung]]=1,1,IF(Tabelle1[[#This Row],[ohne Dämpfung]]=1,2,IF(Tabelle1[[#This Row],[ohne Feder]]=1,3,0))),1,0)</f>
        <v>1</v>
      </c>
      <c r="G289" s="46">
        <f>IF(Tabelle1[[#This Row],[Links]]=select!$I$2,1,0)</f>
        <v>0</v>
      </c>
      <c r="H289" s="46">
        <f>IF(IF(Tabelle1[[#This Row],[Anschrauben]]=1,1,IF(Tabelle1[[#This Row],[Einpressen]]=1,2,IF(Tabelle1[[#This Row],[Werkzeuglos]]=1,3,0)))=select!$E$7,1,0)</f>
        <v>1</v>
      </c>
      <c r="I289" s="46">
        <f ca="1">IF(Tabelle1[[#This Row],[Winkel]]+Tabelle1[[#This Row],[Kröpfung]]+Tabelle1[[#This Row],[Däpfung]]+Tabelle1[[#This Row],[Bohrbild]]+Tabelle1[[#This Row],[Scharnierbefestigung]]=5,1,0)</f>
        <v>0</v>
      </c>
      <c r="J289" t="str">
        <f ca="1">Sprache!$A$55</f>
        <v>TIOMOS hinge TS-Click-on</v>
      </c>
      <c r="K289" t="str">
        <f ca="1">"160°, M-BB, K00, "&amp;Sprache!A59&amp;", ni"</f>
        <v>160°, M-BB, K00, Dowel, ni</v>
      </c>
      <c r="L289" t="str">
        <f ca="1">Sprache!$A$63</f>
        <v>TIOMOS Click-on hinges</v>
      </c>
      <c r="M289">
        <v>0</v>
      </c>
      <c r="N289" s="13" t="s">
        <v>12</v>
      </c>
      <c r="O289">
        <v>160</v>
      </c>
      <c r="P289">
        <v>1</v>
      </c>
      <c r="Q289">
        <v>0</v>
      </c>
      <c r="R289">
        <v>0</v>
      </c>
      <c r="S289">
        <v>0</v>
      </c>
      <c r="T289">
        <v>1</v>
      </c>
      <c r="U289">
        <v>0</v>
      </c>
      <c r="V289" s="14" t="s">
        <v>281</v>
      </c>
    </row>
    <row r="290" spans="1:22" ht="14.25" customHeight="1" x14ac:dyDescent="0.25">
      <c r="A290" s="48" t="str">
        <f>LEFT(Tabelle1[[#This Row],[Artikel'#]],4)</f>
        <v>F028</v>
      </c>
      <c r="B290" s="46" t="str">
        <f>MID(Tabelle1[[#This Row],[Artikel'#]],5,3)</f>
        <v>138</v>
      </c>
      <c r="C290" s="48" t="str">
        <f>RIGHT(Tabelle1[[#This Row],[Artikel'#]],3)</f>
        <v>139</v>
      </c>
      <c r="D290" s="46">
        <f>IF(Tabelle1[[#This Row],[Winkel2]]=select!$A$2,1,0)</f>
        <v>0</v>
      </c>
      <c r="E2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0" s="46">
        <f>IF(select!$E$16=IF(Tabelle1[[#This Row],[mit Dämpfung]]=1,1,IF(Tabelle1[[#This Row],[ohne Dämpfung]]=1,2,IF(Tabelle1[[#This Row],[ohne Feder]]=1,3,0))),1,0)</f>
        <v>1</v>
      </c>
      <c r="G290" s="46">
        <f>IF(Tabelle1[[#This Row],[Links]]=select!$I$2,1,0)</f>
        <v>0</v>
      </c>
      <c r="H290" s="46">
        <f>IF(IF(Tabelle1[[#This Row],[Anschrauben]]=1,1,IF(Tabelle1[[#This Row],[Einpressen]]=1,2,IF(Tabelle1[[#This Row],[Werkzeuglos]]=1,3,0)))=select!$E$7,1,0)</f>
        <v>1</v>
      </c>
      <c r="I290" s="46">
        <f ca="1">IF(Tabelle1[[#This Row],[Winkel]]+Tabelle1[[#This Row],[Kröpfung]]+Tabelle1[[#This Row],[Däpfung]]+Tabelle1[[#This Row],[Bohrbild]]+Tabelle1[[#This Row],[Scharnierbefestigung]]=5,1,0)</f>
        <v>0</v>
      </c>
      <c r="J290" t="str">
        <f ca="1">Sprache!$A$55</f>
        <v>TIOMOS hinge TS-Click-on</v>
      </c>
      <c r="K290" t="str">
        <f ca="1">"160°, M-BB, K03, "&amp;Sprache!A59&amp;", ni"</f>
        <v>160°, M-BB, K03, Dowel, ni</v>
      </c>
      <c r="L290" t="str">
        <f ca="1">Sprache!$A$63</f>
        <v>TIOMOS Click-on hinges</v>
      </c>
      <c r="M290">
        <v>3</v>
      </c>
      <c r="N290" t="s">
        <v>12</v>
      </c>
      <c r="O290">
        <v>160</v>
      </c>
      <c r="P290">
        <v>1</v>
      </c>
      <c r="Q290">
        <v>0</v>
      </c>
      <c r="R290">
        <v>0</v>
      </c>
      <c r="S290">
        <v>0</v>
      </c>
      <c r="T290">
        <v>1</v>
      </c>
      <c r="U290">
        <v>0</v>
      </c>
      <c r="V290" s="14" t="s">
        <v>282</v>
      </c>
    </row>
    <row r="291" spans="1:22" ht="14.25" customHeight="1" x14ac:dyDescent="0.25">
      <c r="A291" s="48" t="str">
        <f>LEFT(Tabelle1[[#This Row],[Artikel'#]],4)</f>
        <v>F028</v>
      </c>
      <c r="B291" s="46" t="str">
        <f>MID(Tabelle1[[#This Row],[Artikel'#]],5,3)</f>
        <v>138</v>
      </c>
      <c r="C291" s="48" t="str">
        <f>RIGHT(Tabelle1[[#This Row],[Artikel'#]],3)</f>
        <v>140</v>
      </c>
      <c r="D291" s="46">
        <f>IF(Tabelle1[[#This Row],[Winkel2]]=select!$A$2,1,0)</f>
        <v>0</v>
      </c>
      <c r="E2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91" s="46">
        <f>IF(select!$E$16=IF(Tabelle1[[#This Row],[mit Dämpfung]]=1,1,IF(Tabelle1[[#This Row],[ohne Dämpfung]]=1,2,IF(Tabelle1[[#This Row],[ohne Feder]]=1,3,0))),1,0)</f>
        <v>1</v>
      </c>
      <c r="G291" s="46">
        <f>IF(Tabelle1[[#This Row],[Links]]=select!$I$2,1,0)</f>
        <v>0</v>
      </c>
      <c r="H291" s="46">
        <f>IF(IF(Tabelle1[[#This Row],[Anschrauben]]=1,1,IF(Tabelle1[[#This Row],[Einpressen]]=1,2,IF(Tabelle1[[#This Row],[Werkzeuglos]]=1,3,0)))=select!$E$7,1,0)</f>
        <v>1</v>
      </c>
      <c r="I291" s="46">
        <f ca="1">IF(Tabelle1[[#This Row],[Winkel]]+Tabelle1[[#This Row],[Kröpfung]]+Tabelle1[[#This Row],[Däpfung]]+Tabelle1[[#This Row],[Bohrbild]]+Tabelle1[[#This Row],[Scharnierbefestigung]]=5,1,0)</f>
        <v>0</v>
      </c>
      <c r="J291" t="str">
        <f ca="1">Sprache!$A$55</f>
        <v>TIOMOS hinge TS-Click-on</v>
      </c>
      <c r="K291" t="str">
        <f ca="1">"160°, M-BB, K95, "&amp;Sprache!A59&amp;", ni"</f>
        <v>160°, M-BB, K95, Dowel, ni</v>
      </c>
      <c r="L291" t="str">
        <f ca="1">Sprache!$A$63</f>
        <v>TIOMOS Click-on hinges</v>
      </c>
      <c r="M291">
        <v>9.5</v>
      </c>
      <c r="N291" t="s">
        <v>12</v>
      </c>
      <c r="O291">
        <v>160</v>
      </c>
      <c r="P291">
        <v>1</v>
      </c>
      <c r="Q291">
        <v>0</v>
      </c>
      <c r="R291">
        <v>0</v>
      </c>
      <c r="S291">
        <v>0</v>
      </c>
      <c r="T291">
        <v>1</v>
      </c>
      <c r="U291">
        <v>0</v>
      </c>
      <c r="V291" s="14" t="s">
        <v>283</v>
      </c>
    </row>
    <row r="292" spans="1:22" ht="14.25" customHeight="1" x14ac:dyDescent="0.25">
      <c r="A292" s="48" t="str">
        <f>LEFT(Tabelle1[[#This Row],[Artikel'#]],4)</f>
        <v>F028</v>
      </c>
      <c r="B292" s="46" t="str">
        <f>MID(Tabelle1[[#This Row],[Artikel'#]],5,3)</f>
        <v>138</v>
      </c>
      <c r="C292" s="48" t="str">
        <f>RIGHT(Tabelle1[[#This Row],[Artikel'#]],3)</f>
        <v>141</v>
      </c>
      <c r="D292" s="46">
        <f>IF(Tabelle1[[#This Row],[Winkel2]]=select!$A$2,1,0)</f>
        <v>0</v>
      </c>
      <c r="E2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2" s="46">
        <f>IF(select!$E$16=IF(Tabelle1[[#This Row],[mit Dämpfung]]=1,1,IF(Tabelle1[[#This Row],[ohne Dämpfung]]=1,2,IF(Tabelle1[[#This Row],[ohne Feder]]=1,3,0))),1,0)</f>
        <v>1</v>
      </c>
      <c r="G292" s="46">
        <f>IF(Tabelle1[[#This Row],[Links]]=select!$I$2,1,0)</f>
        <v>0</v>
      </c>
      <c r="H292" s="46">
        <f>IF(IF(Tabelle1[[#This Row],[Anschrauben]]=1,1,IF(Tabelle1[[#This Row],[Einpressen]]=1,2,IF(Tabelle1[[#This Row],[Werkzeuglos]]=1,3,0)))=select!$E$7,1,0)</f>
        <v>0</v>
      </c>
      <c r="I292" s="46">
        <f ca="1">IF(Tabelle1[[#This Row],[Winkel]]+Tabelle1[[#This Row],[Kröpfung]]+Tabelle1[[#This Row],[Däpfung]]+Tabelle1[[#This Row],[Bohrbild]]+Tabelle1[[#This Row],[Scharnierbefestigung]]=5,1,0)</f>
        <v>0</v>
      </c>
      <c r="J292" t="str">
        <f ca="1">Sprache!$A$55</f>
        <v>TIOMOS hinge TS-Click-on</v>
      </c>
      <c r="K292" t="s">
        <v>285</v>
      </c>
      <c r="L292" t="str">
        <f ca="1">Sprache!$A$63</f>
        <v>TIOMOS Click-on hinges</v>
      </c>
      <c r="M292">
        <v>0</v>
      </c>
      <c r="N292" t="s">
        <v>12</v>
      </c>
      <c r="O292">
        <v>95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 s="14" t="s">
        <v>284</v>
      </c>
    </row>
    <row r="293" spans="1:22" ht="14.25" customHeight="1" x14ac:dyDescent="0.25">
      <c r="A293" s="48" t="str">
        <f>LEFT(Tabelle1[[#This Row],[Artikel'#]],4)</f>
        <v>F028</v>
      </c>
      <c r="B293" s="46" t="str">
        <f>MID(Tabelle1[[#This Row],[Artikel'#]],5,3)</f>
        <v>138</v>
      </c>
      <c r="C293" s="48" t="str">
        <f>RIGHT(Tabelle1[[#This Row],[Artikel'#]],3)</f>
        <v>142</v>
      </c>
      <c r="D293" s="46">
        <f>IF(Tabelle1[[#This Row],[Winkel2]]=select!$A$2,1,0)</f>
        <v>0</v>
      </c>
      <c r="E2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3" s="46">
        <f>IF(select!$E$16=IF(Tabelle1[[#This Row],[mit Dämpfung]]=1,1,IF(Tabelle1[[#This Row],[ohne Dämpfung]]=1,2,IF(Tabelle1[[#This Row],[ohne Feder]]=1,3,0))),1,0)</f>
        <v>1</v>
      </c>
      <c r="G293" s="46">
        <f>IF(Tabelle1[[#This Row],[Links]]=select!$I$2,1,0)</f>
        <v>0</v>
      </c>
      <c r="H293" s="46">
        <f>IF(IF(Tabelle1[[#This Row],[Anschrauben]]=1,1,IF(Tabelle1[[#This Row],[Einpressen]]=1,2,IF(Tabelle1[[#This Row],[Werkzeuglos]]=1,3,0)))=select!$E$7,1,0)</f>
        <v>0</v>
      </c>
      <c r="I293" s="46">
        <f ca="1">IF(Tabelle1[[#This Row],[Winkel]]+Tabelle1[[#This Row],[Kröpfung]]+Tabelle1[[#This Row],[Däpfung]]+Tabelle1[[#This Row],[Bohrbild]]+Tabelle1[[#This Row],[Scharnierbefestigung]]=5,1,0)</f>
        <v>0</v>
      </c>
      <c r="J293" t="str">
        <f ca="1">Sprache!$A$55</f>
        <v>TIOMOS hinge TS-Click-on</v>
      </c>
      <c r="K293" t="s">
        <v>287</v>
      </c>
      <c r="L293" t="str">
        <f ca="1">Sprache!$A$63</f>
        <v>TIOMOS Click-on hinges</v>
      </c>
      <c r="M293">
        <v>3</v>
      </c>
      <c r="N293" t="s">
        <v>12</v>
      </c>
      <c r="O293">
        <v>95</v>
      </c>
      <c r="P293">
        <v>1</v>
      </c>
      <c r="Q293">
        <v>0</v>
      </c>
      <c r="R293">
        <v>0</v>
      </c>
      <c r="S293">
        <v>1</v>
      </c>
      <c r="T293">
        <v>0</v>
      </c>
      <c r="U293">
        <v>0</v>
      </c>
      <c r="V293" s="14" t="s">
        <v>286</v>
      </c>
    </row>
    <row r="294" spans="1:22" ht="14.25" customHeight="1" x14ac:dyDescent="0.25">
      <c r="A294" s="48" t="str">
        <f>LEFT(Tabelle1[[#This Row],[Artikel'#]],4)</f>
        <v>F028</v>
      </c>
      <c r="B294" s="46" t="str">
        <f>MID(Tabelle1[[#This Row],[Artikel'#]],5,3)</f>
        <v>138</v>
      </c>
      <c r="C294" s="48" t="str">
        <f>RIGHT(Tabelle1[[#This Row],[Artikel'#]],3)</f>
        <v>143</v>
      </c>
      <c r="D294" s="46">
        <f>IF(Tabelle1[[#This Row],[Winkel2]]=select!$A$2,1,0)</f>
        <v>0</v>
      </c>
      <c r="E2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94" s="46">
        <f>IF(select!$E$16=IF(Tabelle1[[#This Row],[mit Dämpfung]]=1,1,IF(Tabelle1[[#This Row],[ohne Dämpfung]]=1,2,IF(Tabelle1[[#This Row],[ohne Feder]]=1,3,0))),1,0)</f>
        <v>1</v>
      </c>
      <c r="G294" s="46">
        <f>IF(Tabelle1[[#This Row],[Links]]=select!$I$2,1,0)</f>
        <v>0</v>
      </c>
      <c r="H294" s="46">
        <f>IF(IF(Tabelle1[[#This Row],[Anschrauben]]=1,1,IF(Tabelle1[[#This Row],[Einpressen]]=1,2,IF(Tabelle1[[#This Row],[Werkzeuglos]]=1,3,0)))=select!$E$7,1,0)</f>
        <v>0</v>
      </c>
      <c r="I294" s="46">
        <f ca="1">IF(Tabelle1[[#This Row],[Winkel]]+Tabelle1[[#This Row],[Kröpfung]]+Tabelle1[[#This Row],[Däpfung]]+Tabelle1[[#This Row],[Bohrbild]]+Tabelle1[[#This Row],[Scharnierbefestigung]]=5,1,0)</f>
        <v>0</v>
      </c>
      <c r="J294" t="str">
        <f ca="1">Sprache!$A$55</f>
        <v>TIOMOS hinge TS-Click-on</v>
      </c>
      <c r="K294" t="s">
        <v>289</v>
      </c>
      <c r="L294" t="str">
        <f ca="1">Sprache!$A$63</f>
        <v>TIOMOS Click-on hinges</v>
      </c>
      <c r="M294">
        <v>9.5</v>
      </c>
      <c r="N294" t="s">
        <v>12</v>
      </c>
      <c r="O294">
        <v>95</v>
      </c>
      <c r="P294">
        <v>1</v>
      </c>
      <c r="Q294">
        <v>0</v>
      </c>
      <c r="R294">
        <v>0</v>
      </c>
      <c r="S294">
        <v>1</v>
      </c>
      <c r="T294">
        <v>0</v>
      </c>
      <c r="U294">
        <v>0</v>
      </c>
      <c r="V294" s="14" t="s">
        <v>288</v>
      </c>
    </row>
    <row r="295" spans="1:22" ht="14.25" customHeight="1" x14ac:dyDescent="0.25">
      <c r="A295" s="48" t="str">
        <f>LEFT(Tabelle1[[#This Row],[Artikel'#]],4)</f>
        <v>F028</v>
      </c>
      <c r="B295" s="46" t="str">
        <f>MID(Tabelle1[[#This Row],[Artikel'#]],5,3)</f>
        <v>138</v>
      </c>
      <c r="C295" s="48" t="str">
        <f>RIGHT(Tabelle1[[#This Row],[Artikel'#]],3)</f>
        <v>144</v>
      </c>
      <c r="D295" s="46">
        <f>IF(Tabelle1[[#This Row],[Winkel2]]=select!$A$2,1,0)</f>
        <v>0</v>
      </c>
      <c r="E2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5" s="46">
        <f>IF(select!$E$16=IF(Tabelle1[[#This Row],[mit Dämpfung]]=1,1,IF(Tabelle1[[#This Row],[ohne Dämpfung]]=1,2,IF(Tabelle1[[#This Row],[ohne Feder]]=1,3,0))),1,0)</f>
        <v>1</v>
      </c>
      <c r="G295" s="46">
        <f>IF(Tabelle1[[#This Row],[Links]]=select!$I$2,1,0)</f>
        <v>0</v>
      </c>
      <c r="H295" s="46">
        <f>IF(IF(Tabelle1[[#This Row],[Anschrauben]]=1,1,IF(Tabelle1[[#This Row],[Einpressen]]=1,2,IF(Tabelle1[[#This Row],[Werkzeuglos]]=1,3,0)))=select!$E$7,1,0)</f>
        <v>0</v>
      </c>
      <c r="I295" s="46">
        <f ca="1">IF(Tabelle1[[#This Row],[Winkel]]+Tabelle1[[#This Row],[Kröpfung]]+Tabelle1[[#This Row],[Däpfung]]+Tabelle1[[#This Row],[Bohrbild]]+Tabelle1[[#This Row],[Scharnierbefestigung]]=5,1,0)</f>
        <v>0</v>
      </c>
      <c r="J295" t="str">
        <f ca="1">Sprache!$A$55</f>
        <v>TIOMOS hinge TS-Click-on</v>
      </c>
      <c r="K295" t="s">
        <v>291</v>
      </c>
      <c r="L295" t="str">
        <f ca="1">Sprache!$A$63</f>
        <v>TIOMOS Click-on hinges</v>
      </c>
      <c r="M295">
        <v>19</v>
      </c>
      <c r="N295" t="s">
        <v>12</v>
      </c>
      <c r="O295">
        <v>95</v>
      </c>
      <c r="P295">
        <v>1</v>
      </c>
      <c r="Q295">
        <v>0</v>
      </c>
      <c r="R295">
        <v>0</v>
      </c>
      <c r="S295">
        <v>1</v>
      </c>
      <c r="T295">
        <v>0</v>
      </c>
      <c r="U295">
        <v>0</v>
      </c>
      <c r="V295" s="14" t="s">
        <v>290</v>
      </c>
    </row>
    <row r="296" spans="1:22" ht="14.25" customHeight="1" x14ac:dyDescent="0.25">
      <c r="A296" s="48" t="str">
        <f>LEFT(Tabelle1[[#This Row],[Artikel'#]],4)</f>
        <v>F028</v>
      </c>
      <c r="B296" s="46" t="str">
        <f>MID(Tabelle1[[#This Row],[Artikel'#]],5,3)</f>
        <v>138</v>
      </c>
      <c r="C296" s="48" t="str">
        <f>RIGHT(Tabelle1[[#This Row],[Artikel'#]],3)</f>
        <v>145</v>
      </c>
      <c r="D296" s="46">
        <f>IF(Tabelle1[[#This Row],[Winkel2]]=select!$A$2,1,0)</f>
        <v>0</v>
      </c>
      <c r="E2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6" s="46">
        <f>IF(select!$E$16=IF(Tabelle1[[#This Row],[mit Dämpfung]]=1,1,IF(Tabelle1[[#This Row],[ohne Dämpfung]]=1,2,IF(Tabelle1[[#This Row],[ohne Feder]]=1,3,0))),1,0)</f>
        <v>1</v>
      </c>
      <c r="G296" s="46">
        <f>IF(Tabelle1[[#This Row],[Links]]=select!$I$2,1,0)</f>
        <v>0</v>
      </c>
      <c r="H296" s="46">
        <f>IF(IF(Tabelle1[[#This Row],[Anschrauben]]=1,1,IF(Tabelle1[[#This Row],[Einpressen]]=1,2,IF(Tabelle1[[#This Row],[Werkzeuglos]]=1,3,0)))=select!$E$7,1,0)</f>
        <v>1</v>
      </c>
      <c r="I296" s="46">
        <f ca="1">IF(Tabelle1[[#This Row],[Winkel]]+Tabelle1[[#This Row],[Kröpfung]]+Tabelle1[[#This Row],[Däpfung]]+Tabelle1[[#This Row],[Bohrbild]]+Tabelle1[[#This Row],[Scharnierbefestigung]]=5,1,0)</f>
        <v>0</v>
      </c>
      <c r="J296" t="str">
        <f ca="1">Sprache!$A$55</f>
        <v>TIOMOS hinge TS-Click-on</v>
      </c>
      <c r="K296" t="str">
        <f ca="1">"95°, M-BB, K00, "&amp;Sprache!A59&amp;", ni"</f>
        <v>95°, M-BB, K00, Dowel, ni</v>
      </c>
      <c r="L296" t="str">
        <f ca="1">Sprache!$A$63</f>
        <v>TIOMOS Click-on hinges</v>
      </c>
      <c r="M296">
        <v>0</v>
      </c>
      <c r="N296" t="s">
        <v>12</v>
      </c>
      <c r="O296">
        <v>95</v>
      </c>
      <c r="P296">
        <v>1</v>
      </c>
      <c r="Q296">
        <v>0</v>
      </c>
      <c r="R296">
        <v>0</v>
      </c>
      <c r="S296">
        <v>0</v>
      </c>
      <c r="T296">
        <v>1</v>
      </c>
      <c r="U296">
        <v>0</v>
      </c>
      <c r="V296" s="14" t="s">
        <v>292</v>
      </c>
    </row>
    <row r="297" spans="1:22" ht="14.25" customHeight="1" x14ac:dyDescent="0.25">
      <c r="A297" s="48" t="str">
        <f>LEFT(Tabelle1[[#This Row],[Artikel'#]],4)</f>
        <v>F028</v>
      </c>
      <c r="B297" s="46" t="str">
        <f>MID(Tabelle1[[#This Row],[Artikel'#]],5,3)</f>
        <v>138</v>
      </c>
      <c r="C297" s="48" t="str">
        <f>RIGHT(Tabelle1[[#This Row],[Artikel'#]],3)</f>
        <v>146</v>
      </c>
      <c r="D297" s="46">
        <f>IF(Tabelle1[[#This Row],[Winkel2]]=select!$A$2,1,0)</f>
        <v>0</v>
      </c>
      <c r="E2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7" s="46">
        <f>IF(select!$E$16=IF(Tabelle1[[#This Row],[mit Dämpfung]]=1,1,IF(Tabelle1[[#This Row],[ohne Dämpfung]]=1,2,IF(Tabelle1[[#This Row],[ohne Feder]]=1,3,0))),1,0)</f>
        <v>1</v>
      </c>
      <c r="G297" s="46">
        <f>IF(Tabelle1[[#This Row],[Links]]=select!$I$2,1,0)</f>
        <v>0</v>
      </c>
      <c r="H297" s="46">
        <f>IF(IF(Tabelle1[[#This Row],[Anschrauben]]=1,1,IF(Tabelle1[[#This Row],[Einpressen]]=1,2,IF(Tabelle1[[#This Row],[Werkzeuglos]]=1,3,0)))=select!$E$7,1,0)</f>
        <v>1</v>
      </c>
      <c r="I297" s="46">
        <f ca="1">IF(Tabelle1[[#This Row],[Winkel]]+Tabelle1[[#This Row],[Kröpfung]]+Tabelle1[[#This Row],[Däpfung]]+Tabelle1[[#This Row],[Bohrbild]]+Tabelle1[[#This Row],[Scharnierbefestigung]]=5,1,0)</f>
        <v>0</v>
      </c>
      <c r="J297" t="str">
        <f ca="1">Sprache!$A$55</f>
        <v>TIOMOS hinge TS-Click-on</v>
      </c>
      <c r="K297" t="str">
        <f ca="1">"95°, M-BB, K03, "&amp;Sprache!A59&amp;", ni"</f>
        <v>95°, M-BB, K03, Dowel, ni</v>
      </c>
      <c r="L297" t="str">
        <f ca="1">Sprache!$A$63</f>
        <v>TIOMOS Click-on hinges</v>
      </c>
      <c r="M297">
        <v>3</v>
      </c>
      <c r="N297" t="s">
        <v>12</v>
      </c>
      <c r="O297">
        <v>95</v>
      </c>
      <c r="P297">
        <v>1</v>
      </c>
      <c r="Q297">
        <v>0</v>
      </c>
      <c r="R297">
        <v>0</v>
      </c>
      <c r="S297">
        <v>0</v>
      </c>
      <c r="T297">
        <v>1</v>
      </c>
      <c r="U297">
        <v>0</v>
      </c>
      <c r="V297" s="14" t="s">
        <v>293</v>
      </c>
    </row>
    <row r="298" spans="1:22" ht="14.25" customHeight="1" x14ac:dyDescent="0.25">
      <c r="A298" s="48" t="str">
        <f>LEFT(Tabelle1[[#This Row],[Artikel'#]],4)</f>
        <v>F028</v>
      </c>
      <c r="B298" s="46" t="str">
        <f>MID(Tabelle1[[#This Row],[Artikel'#]],5,3)</f>
        <v>138</v>
      </c>
      <c r="C298" s="48" t="str">
        <f>RIGHT(Tabelle1[[#This Row],[Artikel'#]],3)</f>
        <v>147</v>
      </c>
      <c r="D298" s="46">
        <f>IF(Tabelle1[[#This Row],[Winkel2]]=select!$A$2,1,0)</f>
        <v>0</v>
      </c>
      <c r="E2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298" s="46">
        <f>IF(select!$E$16=IF(Tabelle1[[#This Row],[mit Dämpfung]]=1,1,IF(Tabelle1[[#This Row],[ohne Dämpfung]]=1,2,IF(Tabelle1[[#This Row],[ohne Feder]]=1,3,0))),1,0)</f>
        <v>1</v>
      </c>
      <c r="G298" s="46">
        <f>IF(Tabelle1[[#This Row],[Links]]=select!$I$2,1,0)</f>
        <v>0</v>
      </c>
      <c r="H298" s="46">
        <f>IF(IF(Tabelle1[[#This Row],[Anschrauben]]=1,1,IF(Tabelle1[[#This Row],[Einpressen]]=1,2,IF(Tabelle1[[#This Row],[Werkzeuglos]]=1,3,0)))=select!$E$7,1,0)</f>
        <v>1</v>
      </c>
      <c r="I298" s="46">
        <f ca="1">IF(Tabelle1[[#This Row],[Winkel]]+Tabelle1[[#This Row],[Kröpfung]]+Tabelle1[[#This Row],[Däpfung]]+Tabelle1[[#This Row],[Bohrbild]]+Tabelle1[[#This Row],[Scharnierbefestigung]]=5,1,0)</f>
        <v>0</v>
      </c>
      <c r="J298" t="str">
        <f ca="1">Sprache!$A$55</f>
        <v>TIOMOS hinge TS-Click-on</v>
      </c>
      <c r="K298" t="str">
        <f ca="1">"95°, M-BB, K95, "&amp;Sprache!A59&amp;", ni"</f>
        <v>95°, M-BB, K95, Dowel, ni</v>
      </c>
      <c r="L298" t="str">
        <f ca="1">Sprache!$A$63</f>
        <v>TIOMOS Click-on hinges</v>
      </c>
      <c r="M298">
        <v>9.5</v>
      </c>
      <c r="N298" t="s">
        <v>12</v>
      </c>
      <c r="O298">
        <v>95</v>
      </c>
      <c r="P298">
        <v>1</v>
      </c>
      <c r="Q298">
        <v>0</v>
      </c>
      <c r="R298">
        <v>0</v>
      </c>
      <c r="S298">
        <v>0</v>
      </c>
      <c r="T298">
        <v>1</v>
      </c>
      <c r="U298">
        <v>0</v>
      </c>
      <c r="V298" s="14" t="s">
        <v>294</v>
      </c>
    </row>
    <row r="299" spans="1:22" ht="14.25" customHeight="1" x14ac:dyDescent="0.25">
      <c r="A299" s="48" t="str">
        <f>LEFT(Tabelle1[[#This Row],[Artikel'#]],4)</f>
        <v>F028</v>
      </c>
      <c r="B299" s="46" t="str">
        <f>MID(Tabelle1[[#This Row],[Artikel'#]],5,3)</f>
        <v>138</v>
      </c>
      <c r="C299" s="48" t="str">
        <f>RIGHT(Tabelle1[[#This Row],[Artikel'#]],3)</f>
        <v>148</v>
      </c>
      <c r="D299" s="46">
        <f>IF(Tabelle1[[#This Row],[Winkel2]]=select!$A$2,1,0)</f>
        <v>0</v>
      </c>
      <c r="E2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299" s="46">
        <f>IF(select!$E$16=IF(Tabelle1[[#This Row],[mit Dämpfung]]=1,1,IF(Tabelle1[[#This Row],[ohne Dämpfung]]=1,2,IF(Tabelle1[[#This Row],[ohne Feder]]=1,3,0))),1,0)</f>
        <v>1</v>
      </c>
      <c r="G299" s="46">
        <f>IF(Tabelle1[[#This Row],[Links]]=select!$I$2,1,0)</f>
        <v>0</v>
      </c>
      <c r="H299" s="46">
        <f>IF(IF(Tabelle1[[#This Row],[Anschrauben]]=1,1,IF(Tabelle1[[#This Row],[Einpressen]]=1,2,IF(Tabelle1[[#This Row],[Werkzeuglos]]=1,3,0)))=select!$E$7,1,0)</f>
        <v>1</v>
      </c>
      <c r="I299" s="46">
        <f ca="1">IF(Tabelle1[[#This Row],[Winkel]]+Tabelle1[[#This Row],[Kröpfung]]+Tabelle1[[#This Row],[Däpfung]]+Tabelle1[[#This Row],[Bohrbild]]+Tabelle1[[#This Row],[Scharnierbefestigung]]=5,1,0)</f>
        <v>0</v>
      </c>
      <c r="J299" t="str">
        <f ca="1">Sprache!$A$55</f>
        <v>TIOMOS hinge TS-Click-on</v>
      </c>
      <c r="K299" t="str">
        <f ca="1">"95°, M-BB, K19, "&amp;Sprache!A59&amp;", ni"</f>
        <v>95°, M-BB, K19, Dowel, ni</v>
      </c>
      <c r="L299" t="str">
        <f ca="1">Sprache!$A$63</f>
        <v>TIOMOS Click-on hinges</v>
      </c>
      <c r="M299">
        <v>19</v>
      </c>
      <c r="N299" t="s">
        <v>12</v>
      </c>
      <c r="O299">
        <v>95</v>
      </c>
      <c r="P299">
        <v>1</v>
      </c>
      <c r="Q299">
        <v>0</v>
      </c>
      <c r="R299">
        <v>0</v>
      </c>
      <c r="S299">
        <v>0</v>
      </c>
      <c r="T299">
        <v>1</v>
      </c>
      <c r="U299">
        <v>0</v>
      </c>
      <c r="V299" s="14" t="s">
        <v>295</v>
      </c>
    </row>
    <row r="300" spans="1:22" ht="14.25" customHeight="1" x14ac:dyDescent="0.25">
      <c r="A300" s="48" t="str">
        <f>LEFT(Tabelle1[[#This Row],[Artikel'#]],4)</f>
        <v>F028</v>
      </c>
      <c r="B300" s="46" t="str">
        <f>MID(Tabelle1[[#This Row],[Artikel'#]],5,3)</f>
        <v>138</v>
      </c>
      <c r="C300" s="48" t="str">
        <f>RIGHT(Tabelle1[[#This Row],[Artikel'#]],3)</f>
        <v>337</v>
      </c>
      <c r="D300" s="46">
        <f>IF(Tabelle1[[#This Row],[Winkel2]]=select!$A$2,1,0)</f>
        <v>1</v>
      </c>
      <c r="E3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0" s="46">
        <f>IF(select!$E$16=IF(Tabelle1[[#This Row],[mit Dämpfung]]=1,1,IF(Tabelle1[[#This Row],[ohne Dämpfung]]=1,2,IF(Tabelle1[[#This Row],[ohne Feder]]=1,3,0))),1,0)</f>
        <v>1</v>
      </c>
      <c r="G300" s="46">
        <f>IF(Tabelle1[[#This Row],[Links]]=select!$I$2,1,0)</f>
        <v>0</v>
      </c>
      <c r="H300" s="46">
        <f>IF(IF(Tabelle1[[#This Row],[Anschrauben]]=1,1,IF(Tabelle1[[#This Row],[Einpressen]]=1,2,IF(Tabelle1[[#This Row],[Werkzeuglos]]=1,3,0)))=select!$E$7,1,0)</f>
        <v>0</v>
      </c>
      <c r="I300" s="46">
        <f ca="1">IF(Tabelle1[[#This Row],[Winkel]]+Tabelle1[[#This Row],[Kröpfung]]+Tabelle1[[#This Row],[Däpfung]]+Tabelle1[[#This Row],[Bohrbild]]+Tabelle1[[#This Row],[Scharnierbefestigung]]=5,1,0)</f>
        <v>0</v>
      </c>
      <c r="J300" t="str">
        <f ca="1">Sprache!$A$55</f>
        <v>TIOMOS hinge TS-Click-on</v>
      </c>
      <c r="K300" t="s">
        <v>297</v>
      </c>
      <c r="L300" t="str">
        <f ca="1">Sprache!$A$63</f>
        <v>TIOMOS Click-on hinges</v>
      </c>
      <c r="M300">
        <v>0</v>
      </c>
      <c r="N300" t="s">
        <v>13</v>
      </c>
      <c r="O300">
        <v>110</v>
      </c>
      <c r="P300">
        <v>1</v>
      </c>
      <c r="Q300">
        <v>0</v>
      </c>
      <c r="R300">
        <v>0</v>
      </c>
      <c r="S300">
        <v>1</v>
      </c>
      <c r="T300">
        <v>0</v>
      </c>
      <c r="U300">
        <v>0</v>
      </c>
      <c r="V300" s="14" t="s">
        <v>296</v>
      </c>
    </row>
    <row r="301" spans="1:22" ht="14.25" customHeight="1" x14ac:dyDescent="0.25">
      <c r="A301" s="48" t="str">
        <f>LEFT(Tabelle1[[#This Row],[Artikel'#]],4)</f>
        <v>F028</v>
      </c>
      <c r="B301" s="46" t="str">
        <f>MID(Tabelle1[[#This Row],[Artikel'#]],5,3)</f>
        <v>138</v>
      </c>
      <c r="C301" s="48" t="str">
        <f>RIGHT(Tabelle1[[#This Row],[Artikel'#]],3)</f>
        <v>338</v>
      </c>
      <c r="D301" s="46">
        <f>IF(Tabelle1[[#This Row],[Winkel2]]=select!$A$2,1,0)</f>
        <v>1</v>
      </c>
      <c r="E3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1" s="46">
        <f>IF(select!$E$16=IF(Tabelle1[[#This Row],[mit Dämpfung]]=1,1,IF(Tabelle1[[#This Row],[ohne Dämpfung]]=1,2,IF(Tabelle1[[#This Row],[ohne Feder]]=1,3,0))),1,0)</f>
        <v>1</v>
      </c>
      <c r="G301" s="46">
        <f>IF(Tabelle1[[#This Row],[Links]]=select!$I$2,1,0)</f>
        <v>0</v>
      </c>
      <c r="H301" s="46">
        <f>IF(IF(Tabelle1[[#This Row],[Anschrauben]]=1,1,IF(Tabelle1[[#This Row],[Einpressen]]=1,2,IF(Tabelle1[[#This Row],[Werkzeuglos]]=1,3,0)))=select!$E$7,1,0)</f>
        <v>0</v>
      </c>
      <c r="I301" s="46">
        <f ca="1">IF(Tabelle1[[#This Row],[Winkel]]+Tabelle1[[#This Row],[Kröpfung]]+Tabelle1[[#This Row],[Däpfung]]+Tabelle1[[#This Row],[Bohrbild]]+Tabelle1[[#This Row],[Scharnierbefestigung]]=5,1,0)</f>
        <v>0</v>
      </c>
      <c r="J301" t="str">
        <f ca="1">Sprache!$A$55</f>
        <v>TIOMOS hinge TS-Click-on</v>
      </c>
      <c r="K301" t="s">
        <v>299</v>
      </c>
      <c r="L301" t="str">
        <f ca="1">Sprache!$A$63</f>
        <v>TIOMOS Click-on hinges</v>
      </c>
      <c r="M301">
        <v>3</v>
      </c>
      <c r="N301" t="s">
        <v>13</v>
      </c>
      <c r="O301">
        <v>110</v>
      </c>
      <c r="P301">
        <v>1</v>
      </c>
      <c r="Q301">
        <v>0</v>
      </c>
      <c r="R301">
        <v>0</v>
      </c>
      <c r="S301">
        <v>1</v>
      </c>
      <c r="T301">
        <v>0</v>
      </c>
      <c r="U301">
        <v>0</v>
      </c>
      <c r="V301" s="14" t="s">
        <v>298</v>
      </c>
    </row>
    <row r="302" spans="1:22" ht="14.25" customHeight="1" x14ac:dyDescent="0.25">
      <c r="A302" s="48" t="str">
        <f>LEFT(Tabelle1[[#This Row],[Artikel'#]],4)</f>
        <v>F028</v>
      </c>
      <c r="B302" s="46" t="str">
        <f>MID(Tabelle1[[#This Row],[Artikel'#]],5,3)</f>
        <v>138</v>
      </c>
      <c r="C302" s="48" t="str">
        <f>RIGHT(Tabelle1[[#This Row],[Artikel'#]],3)</f>
        <v>339</v>
      </c>
      <c r="D302" s="46">
        <f>IF(Tabelle1[[#This Row],[Winkel2]]=select!$A$2,1,0)</f>
        <v>1</v>
      </c>
      <c r="E3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02" s="46">
        <f>IF(select!$E$16=IF(Tabelle1[[#This Row],[mit Dämpfung]]=1,1,IF(Tabelle1[[#This Row],[ohne Dämpfung]]=1,2,IF(Tabelle1[[#This Row],[ohne Feder]]=1,3,0))),1,0)</f>
        <v>1</v>
      </c>
      <c r="G302" s="46">
        <f>IF(Tabelle1[[#This Row],[Links]]=select!$I$2,1,0)</f>
        <v>0</v>
      </c>
      <c r="H302" s="46">
        <f>IF(IF(Tabelle1[[#This Row],[Anschrauben]]=1,1,IF(Tabelle1[[#This Row],[Einpressen]]=1,2,IF(Tabelle1[[#This Row],[Werkzeuglos]]=1,3,0)))=select!$E$7,1,0)</f>
        <v>0</v>
      </c>
      <c r="I302" s="46">
        <f ca="1">IF(Tabelle1[[#This Row],[Winkel]]+Tabelle1[[#This Row],[Kröpfung]]+Tabelle1[[#This Row],[Däpfung]]+Tabelle1[[#This Row],[Bohrbild]]+Tabelle1[[#This Row],[Scharnierbefestigung]]=5,1,0)</f>
        <v>0</v>
      </c>
      <c r="J302" t="str">
        <f ca="1">Sprache!$A$55</f>
        <v>TIOMOS hinge TS-Click-on</v>
      </c>
      <c r="K302" t="s">
        <v>301</v>
      </c>
      <c r="L302" t="str">
        <f ca="1">Sprache!$A$63</f>
        <v>TIOMOS Click-on hinges</v>
      </c>
      <c r="M302">
        <v>9.5</v>
      </c>
      <c r="N302" t="s">
        <v>13</v>
      </c>
      <c r="O302">
        <v>110</v>
      </c>
      <c r="P302">
        <v>1</v>
      </c>
      <c r="Q302">
        <v>0</v>
      </c>
      <c r="R302">
        <v>0</v>
      </c>
      <c r="S302">
        <v>1</v>
      </c>
      <c r="T302">
        <v>0</v>
      </c>
      <c r="U302">
        <v>0</v>
      </c>
      <c r="V302" s="14" t="s">
        <v>300</v>
      </c>
    </row>
    <row r="303" spans="1:22" ht="14.25" customHeight="1" x14ac:dyDescent="0.25">
      <c r="A303" s="48" t="str">
        <f>LEFT(Tabelle1[[#This Row],[Artikel'#]],4)</f>
        <v>F028</v>
      </c>
      <c r="B303" s="46" t="str">
        <f>MID(Tabelle1[[#This Row],[Artikel'#]],5,3)</f>
        <v>138</v>
      </c>
      <c r="C303" s="48" t="str">
        <f>RIGHT(Tabelle1[[#This Row],[Artikel'#]],3)</f>
        <v>340</v>
      </c>
      <c r="D303" s="46">
        <f>IF(Tabelle1[[#This Row],[Winkel2]]=select!$A$2,1,0)</f>
        <v>1</v>
      </c>
      <c r="E3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3" s="46">
        <f>IF(select!$E$16=IF(Tabelle1[[#This Row],[mit Dämpfung]]=1,1,IF(Tabelle1[[#This Row],[ohne Dämpfung]]=1,2,IF(Tabelle1[[#This Row],[ohne Feder]]=1,3,0))),1,0)</f>
        <v>1</v>
      </c>
      <c r="G303" s="46">
        <f>IF(Tabelle1[[#This Row],[Links]]=select!$I$2,1,0)</f>
        <v>0</v>
      </c>
      <c r="H303" s="46">
        <f>IF(IF(Tabelle1[[#This Row],[Anschrauben]]=1,1,IF(Tabelle1[[#This Row],[Einpressen]]=1,2,IF(Tabelle1[[#This Row],[Werkzeuglos]]=1,3,0)))=select!$E$7,1,0)</f>
        <v>0</v>
      </c>
      <c r="I303" s="46">
        <f ca="1">IF(Tabelle1[[#This Row],[Winkel]]+Tabelle1[[#This Row],[Kröpfung]]+Tabelle1[[#This Row],[Däpfung]]+Tabelle1[[#This Row],[Bohrbild]]+Tabelle1[[#This Row],[Scharnierbefestigung]]=5,1,0)</f>
        <v>0</v>
      </c>
      <c r="J303" t="str">
        <f ca="1">Sprache!$A$55</f>
        <v>TIOMOS hinge TS-Click-on</v>
      </c>
      <c r="K303" t="s">
        <v>303</v>
      </c>
      <c r="L303" t="str">
        <f ca="1">Sprache!$A$63</f>
        <v>TIOMOS Click-on hinges</v>
      </c>
      <c r="M303">
        <v>19</v>
      </c>
      <c r="N303" t="s">
        <v>13</v>
      </c>
      <c r="O303">
        <v>110</v>
      </c>
      <c r="P303">
        <v>1</v>
      </c>
      <c r="Q303">
        <v>0</v>
      </c>
      <c r="R303">
        <v>0</v>
      </c>
      <c r="S303">
        <v>1</v>
      </c>
      <c r="T303">
        <v>0</v>
      </c>
      <c r="U303">
        <v>0</v>
      </c>
      <c r="V303" s="14" t="s">
        <v>302</v>
      </c>
    </row>
    <row r="304" spans="1:22" ht="14.25" customHeight="1" x14ac:dyDescent="0.25">
      <c r="A304" s="48" t="str">
        <f>LEFT(Tabelle1[[#This Row],[Artikel'#]],4)</f>
        <v>F028</v>
      </c>
      <c r="B304" s="46" t="str">
        <f>MID(Tabelle1[[#This Row],[Artikel'#]],5,3)</f>
        <v>138</v>
      </c>
      <c r="C304" s="48" t="str">
        <f>RIGHT(Tabelle1[[#This Row],[Artikel'#]],3)</f>
        <v>341</v>
      </c>
      <c r="D304" s="46">
        <f>IF(Tabelle1[[#This Row],[Winkel2]]=select!$A$2,1,0)</f>
        <v>1</v>
      </c>
      <c r="E3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4" s="46">
        <f>IF(select!$E$16=IF(Tabelle1[[#This Row],[mit Dämpfung]]=1,1,IF(Tabelle1[[#This Row],[ohne Dämpfung]]=1,2,IF(Tabelle1[[#This Row],[ohne Feder]]=1,3,0))),1,0)</f>
        <v>1</v>
      </c>
      <c r="G304" s="46">
        <f>IF(Tabelle1[[#This Row],[Links]]=select!$I$2,1,0)</f>
        <v>0</v>
      </c>
      <c r="H304" s="46">
        <f>IF(IF(Tabelle1[[#This Row],[Anschrauben]]=1,1,IF(Tabelle1[[#This Row],[Einpressen]]=1,2,IF(Tabelle1[[#This Row],[Werkzeuglos]]=1,3,0)))=select!$E$7,1,0)</f>
        <v>1</v>
      </c>
      <c r="I304" s="46">
        <f ca="1">IF(Tabelle1[[#This Row],[Winkel]]+Tabelle1[[#This Row],[Kröpfung]]+Tabelle1[[#This Row],[Däpfung]]+Tabelle1[[#This Row],[Bohrbild]]+Tabelle1[[#This Row],[Scharnierbefestigung]]=5,1,0)</f>
        <v>0</v>
      </c>
      <c r="J304" t="str">
        <f ca="1">Sprache!$A$55</f>
        <v>TIOMOS hinge TS-Click-on</v>
      </c>
      <c r="K304" t="str">
        <f ca="1">"110°, G-BB, K00, "&amp;Sprache!A59&amp;", ni"</f>
        <v>110°, G-BB, K00, Dowel, ni</v>
      </c>
      <c r="L304" t="str">
        <f ca="1">Sprache!$A$63</f>
        <v>TIOMOS Click-on hinges</v>
      </c>
      <c r="M304">
        <v>0</v>
      </c>
      <c r="N304" t="s">
        <v>13</v>
      </c>
      <c r="O304">
        <v>110</v>
      </c>
      <c r="P304">
        <v>1</v>
      </c>
      <c r="Q304">
        <v>0</v>
      </c>
      <c r="R304">
        <v>0</v>
      </c>
      <c r="S304">
        <v>0</v>
      </c>
      <c r="T304">
        <v>1</v>
      </c>
      <c r="U304">
        <v>0</v>
      </c>
      <c r="V304" s="14" t="s">
        <v>304</v>
      </c>
    </row>
    <row r="305" spans="1:22" ht="14.25" customHeight="1" x14ac:dyDescent="0.25">
      <c r="A305" s="48" t="str">
        <f>LEFT(Tabelle1[[#This Row],[Artikel'#]],4)</f>
        <v>F028</v>
      </c>
      <c r="B305" s="46" t="str">
        <f>MID(Tabelle1[[#This Row],[Artikel'#]],5,3)</f>
        <v>138</v>
      </c>
      <c r="C305" s="48" t="str">
        <f>RIGHT(Tabelle1[[#This Row],[Artikel'#]],3)</f>
        <v>342</v>
      </c>
      <c r="D305" s="46">
        <f>IF(Tabelle1[[#This Row],[Winkel2]]=select!$A$2,1,0)</f>
        <v>1</v>
      </c>
      <c r="E3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5" s="46">
        <f>IF(select!$E$16=IF(Tabelle1[[#This Row],[mit Dämpfung]]=1,1,IF(Tabelle1[[#This Row],[ohne Dämpfung]]=1,2,IF(Tabelle1[[#This Row],[ohne Feder]]=1,3,0))),1,0)</f>
        <v>1</v>
      </c>
      <c r="G305" s="46">
        <f>IF(Tabelle1[[#This Row],[Links]]=select!$I$2,1,0)</f>
        <v>0</v>
      </c>
      <c r="H305" s="46">
        <f>IF(IF(Tabelle1[[#This Row],[Anschrauben]]=1,1,IF(Tabelle1[[#This Row],[Einpressen]]=1,2,IF(Tabelle1[[#This Row],[Werkzeuglos]]=1,3,0)))=select!$E$7,1,0)</f>
        <v>1</v>
      </c>
      <c r="I305" s="46">
        <f ca="1">IF(Tabelle1[[#This Row],[Winkel]]+Tabelle1[[#This Row],[Kröpfung]]+Tabelle1[[#This Row],[Däpfung]]+Tabelle1[[#This Row],[Bohrbild]]+Tabelle1[[#This Row],[Scharnierbefestigung]]=5,1,0)</f>
        <v>0</v>
      </c>
      <c r="J305" t="str">
        <f ca="1">Sprache!$A$55</f>
        <v>TIOMOS hinge TS-Click-on</v>
      </c>
      <c r="K305" t="str">
        <f ca="1">"110°, G-BB, K03, "&amp;Sprache!A59&amp;", ni"</f>
        <v>110°, G-BB, K03, Dowel, ni</v>
      </c>
      <c r="L305" t="str">
        <f ca="1">Sprache!$A$63</f>
        <v>TIOMOS Click-on hinges</v>
      </c>
      <c r="M305">
        <v>3</v>
      </c>
      <c r="N305" t="s">
        <v>13</v>
      </c>
      <c r="O305">
        <v>110</v>
      </c>
      <c r="P305">
        <v>1</v>
      </c>
      <c r="Q305">
        <v>0</v>
      </c>
      <c r="R305">
        <v>0</v>
      </c>
      <c r="S305">
        <v>0</v>
      </c>
      <c r="T305">
        <v>1</v>
      </c>
      <c r="U305">
        <v>0</v>
      </c>
      <c r="V305" s="14" t="s">
        <v>305</v>
      </c>
    </row>
    <row r="306" spans="1:22" ht="14.25" customHeight="1" x14ac:dyDescent="0.25">
      <c r="A306" s="48" t="str">
        <f>LEFT(Tabelle1[[#This Row],[Artikel'#]],4)</f>
        <v>F028</v>
      </c>
      <c r="B306" s="46" t="str">
        <f>MID(Tabelle1[[#This Row],[Artikel'#]],5,3)</f>
        <v>138</v>
      </c>
      <c r="C306" s="48" t="str">
        <f>RIGHT(Tabelle1[[#This Row],[Artikel'#]],3)</f>
        <v>343</v>
      </c>
      <c r="D306" s="46">
        <f>IF(Tabelle1[[#This Row],[Winkel2]]=select!$A$2,1,0)</f>
        <v>1</v>
      </c>
      <c r="E3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06" s="46">
        <f>IF(select!$E$16=IF(Tabelle1[[#This Row],[mit Dämpfung]]=1,1,IF(Tabelle1[[#This Row],[ohne Dämpfung]]=1,2,IF(Tabelle1[[#This Row],[ohne Feder]]=1,3,0))),1,0)</f>
        <v>1</v>
      </c>
      <c r="G306" s="46">
        <f>IF(Tabelle1[[#This Row],[Links]]=select!$I$2,1,0)</f>
        <v>0</v>
      </c>
      <c r="H306" s="46">
        <f>IF(IF(Tabelle1[[#This Row],[Anschrauben]]=1,1,IF(Tabelle1[[#This Row],[Einpressen]]=1,2,IF(Tabelle1[[#This Row],[Werkzeuglos]]=1,3,0)))=select!$E$7,1,0)</f>
        <v>1</v>
      </c>
      <c r="I306" s="46">
        <f ca="1">IF(Tabelle1[[#This Row],[Winkel]]+Tabelle1[[#This Row],[Kröpfung]]+Tabelle1[[#This Row],[Däpfung]]+Tabelle1[[#This Row],[Bohrbild]]+Tabelle1[[#This Row],[Scharnierbefestigung]]=5,1,0)</f>
        <v>0</v>
      </c>
      <c r="J306" t="str">
        <f ca="1">Sprache!$A$55</f>
        <v>TIOMOS hinge TS-Click-on</v>
      </c>
      <c r="K306" t="str">
        <f ca="1">"110°, G-BB, K95, "&amp;Sprache!A59&amp;", ni"</f>
        <v>110°, G-BB, K95, Dowel, ni</v>
      </c>
      <c r="L306" t="str">
        <f ca="1">Sprache!$A$63</f>
        <v>TIOMOS Click-on hinges</v>
      </c>
      <c r="M306">
        <v>9.5</v>
      </c>
      <c r="N306" t="s">
        <v>13</v>
      </c>
      <c r="O306">
        <v>110</v>
      </c>
      <c r="P306">
        <v>1</v>
      </c>
      <c r="Q306">
        <v>0</v>
      </c>
      <c r="R306">
        <v>0</v>
      </c>
      <c r="S306">
        <v>0</v>
      </c>
      <c r="T306">
        <v>1</v>
      </c>
      <c r="U306">
        <v>0</v>
      </c>
      <c r="V306" s="14" t="s">
        <v>306</v>
      </c>
    </row>
    <row r="307" spans="1:22" ht="14.25" customHeight="1" x14ac:dyDescent="0.25">
      <c r="A307" s="48" t="str">
        <f>LEFT(Tabelle1[[#This Row],[Artikel'#]],4)</f>
        <v>F028</v>
      </c>
      <c r="B307" s="46" t="str">
        <f>MID(Tabelle1[[#This Row],[Artikel'#]],5,3)</f>
        <v>138</v>
      </c>
      <c r="C307" s="48" t="str">
        <f>RIGHT(Tabelle1[[#This Row],[Artikel'#]],3)</f>
        <v>344</v>
      </c>
      <c r="D307" s="46">
        <f>IF(Tabelle1[[#This Row],[Winkel2]]=select!$A$2,1,0)</f>
        <v>1</v>
      </c>
      <c r="E3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7" s="46">
        <f>IF(select!$E$16=IF(Tabelle1[[#This Row],[mit Dämpfung]]=1,1,IF(Tabelle1[[#This Row],[ohne Dämpfung]]=1,2,IF(Tabelle1[[#This Row],[ohne Feder]]=1,3,0))),1,0)</f>
        <v>1</v>
      </c>
      <c r="G307" s="46">
        <f>IF(Tabelle1[[#This Row],[Links]]=select!$I$2,1,0)</f>
        <v>0</v>
      </c>
      <c r="H307" s="46">
        <f>IF(IF(Tabelle1[[#This Row],[Anschrauben]]=1,1,IF(Tabelle1[[#This Row],[Einpressen]]=1,2,IF(Tabelle1[[#This Row],[Werkzeuglos]]=1,3,0)))=select!$E$7,1,0)</f>
        <v>1</v>
      </c>
      <c r="I307" s="46">
        <f ca="1">IF(Tabelle1[[#This Row],[Winkel]]+Tabelle1[[#This Row],[Kröpfung]]+Tabelle1[[#This Row],[Däpfung]]+Tabelle1[[#This Row],[Bohrbild]]+Tabelle1[[#This Row],[Scharnierbefestigung]]=5,1,0)</f>
        <v>0</v>
      </c>
      <c r="J307" t="str">
        <f ca="1">Sprache!$A$55</f>
        <v>TIOMOS hinge TS-Click-on</v>
      </c>
      <c r="K307" t="str">
        <f ca="1">"110°, G-BB, K19, "&amp;Sprache!A59&amp;", ni"</f>
        <v>110°, G-BB, K19, Dowel, ni</v>
      </c>
      <c r="L307" t="str">
        <f ca="1">Sprache!$A$63</f>
        <v>TIOMOS Click-on hinges</v>
      </c>
      <c r="M307">
        <v>19</v>
      </c>
      <c r="N307" t="s">
        <v>13</v>
      </c>
      <c r="O307">
        <v>110</v>
      </c>
      <c r="P307">
        <v>1</v>
      </c>
      <c r="Q307">
        <v>0</v>
      </c>
      <c r="R307">
        <v>0</v>
      </c>
      <c r="S307">
        <v>0</v>
      </c>
      <c r="T307">
        <v>1</v>
      </c>
      <c r="U307">
        <v>0</v>
      </c>
      <c r="V307" s="14" t="s">
        <v>307</v>
      </c>
    </row>
    <row r="308" spans="1:22" ht="14.25" customHeight="1" x14ac:dyDescent="0.25">
      <c r="A308" s="48" t="str">
        <f>LEFT(Tabelle1[[#This Row],[Artikel'#]],4)</f>
        <v>F028</v>
      </c>
      <c r="B308" s="46" t="str">
        <f>MID(Tabelle1[[#This Row],[Artikel'#]],5,3)</f>
        <v>138</v>
      </c>
      <c r="C308" s="48" t="str">
        <f>RIGHT(Tabelle1[[#This Row],[Artikel'#]],3)</f>
        <v>365</v>
      </c>
      <c r="D308" s="46">
        <f>IF(Tabelle1[[#This Row],[Winkel2]]=select!$A$2,1,0)</f>
        <v>0</v>
      </c>
      <c r="E3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8" s="46">
        <f>IF(select!$E$16=IF(Tabelle1[[#This Row],[mit Dämpfung]]=1,1,IF(Tabelle1[[#This Row],[ohne Dämpfung]]=1,2,IF(Tabelle1[[#This Row],[ohne Feder]]=1,3,0))),1,0)</f>
        <v>1</v>
      </c>
      <c r="G308" s="46">
        <f>IF(Tabelle1[[#This Row],[Links]]=select!$I$2,1,0)</f>
        <v>0</v>
      </c>
      <c r="H308" s="46">
        <f>IF(IF(Tabelle1[[#This Row],[Anschrauben]]=1,1,IF(Tabelle1[[#This Row],[Einpressen]]=1,2,IF(Tabelle1[[#This Row],[Werkzeuglos]]=1,3,0)))=select!$E$7,1,0)</f>
        <v>0</v>
      </c>
      <c r="I308" s="46">
        <f ca="1">IF(Tabelle1[[#This Row],[Winkel]]+Tabelle1[[#This Row],[Kröpfung]]+Tabelle1[[#This Row],[Däpfung]]+Tabelle1[[#This Row],[Bohrbild]]+Tabelle1[[#This Row],[Scharnierbefestigung]]=5,1,0)</f>
        <v>0</v>
      </c>
      <c r="J308" t="str">
        <f ca="1">Sprache!$A$55</f>
        <v>TIOMOS hinge TS-Click-on</v>
      </c>
      <c r="K308" t="s">
        <v>309</v>
      </c>
      <c r="L308" t="str">
        <f ca="1">Sprache!$A$63</f>
        <v>TIOMOS Click-on hinges</v>
      </c>
      <c r="M308">
        <v>0</v>
      </c>
      <c r="N308" t="s">
        <v>13</v>
      </c>
      <c r="O308">
        <v>120</v>
      </c>
      <c r="P308">
        <v>1</v>
      </c>
      <c r="Q308">
        <v>0</v>
      </c>
      <c r="R308">
        <v>0</v>
      </c>
      <c r="S308">
        <v>1</v>
      </c>
      <c r="T308">
        <v>0</v>
      </c>
      <c r="U308">
        <v>0</v>
      </c>
      <c r="V308" s="14" t="s">
        <v>308</v>
      </c>
    </row>
    <row r="309" spans="1:22" ht="14.25" customHeight="1" x14ac:dyDescent="0.25">
      <c r="A309" s="48" t="str">
        <f>LEFT(Tabelle1[[#This Row],[Artikel'#]],4)</f>
        <v>F028</v>
      </c>
      <c r="B309" s="46" t="str">
        <f>MID(Tabelle1[[#This Row],[Artikel'#]],5,3)</f>
        <v>138</v>
      </c>
      <c r="C309" s="48" t="str">
        <f>RIGHT(Tabelle1[[#This Row],[Artikel'#]],3)</f>
        <v>366</v>
      </c>
      <c r="D309" s="46">
        <f>IF(Tabelle1[[#This Row],[Winkel2]]=select!$A$2,1,0)</f>
        <v>0</v>
      </c>
      <c r="E3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09" s="46">
        <f>IF(select!$E$16=IF(Tabelle1[[#This Row],[mit Dämpfung]]=1,1,IF(Tabelle1[[#This Row],[ohne Dämpfung]]=1,2,IF(Tabelle1[[#This Row],[ohne Feder]]=1,3,0))),1,0)</f>
        <v>1</v>
      </c>
      <c r="G309" s="46">
        <f>IF(Tabelle1[[#This Row],[Links]]=select!$I$2,1,0)</f>
        <v>0</v>
      </c>
      <c r="H309" s="46">
        <f>IF(IF(Tabelle1[[#This Row],[Anschrauben]]=1,1,IF(Tabelle1[[#This Row],[Einpressen]]=1,2,IF(Tabelle1[[#This Row],[Werkzeuglos]]=1,3,0)))=select!$E$7,1,0)</f>
        <v>0</v>
      </c>
      <c r="I309" s="46">
        <f ca="1">IF(Tabelle1[[#This Row],[Winkel]]+Tabelle1[[#This Row],[Kröpfung]]+Tabelle1[[#This Row],[Däpfung]]+Tabelle1[[#This Row],[Bohrbild]]+Tabelle1[[#This Row],[Scharnierbefestigung]]=5,1,0)</f>
        <v>0</v>
      </c>
      <c r="J309" t="str">
        <f ca="1">Sprache!$A$55</f>
        <v>TIOMOS hinge TS-Click-on</v>
      </c>
      <c r="K309" t="s">
        <v>311</v>
      </c>
      <c r="L309" t="str">
        <f ca="1">Sprache!$A$63</f>
        <v>TIOMOS Click-on hinges</v>
      </c>
      <c r="M309">
        <v>3</v>
      </c>
      <c r="N309" t="s">
        <v>13</v>
      </c>
      <c r="O309">
        <v>120</v>
      </c>
      <c r="P309">
        <v>1</v>
      </c>
      <c r="Q309">
        <v>0</v>
      </c>
      <c r="R309">
        <v>0</v>
      </c>
      <c r="S309">
        <v>1</v>
      </c>
      <c r="T309">
        <v>0</v>
      </c>
      <c r="U309">
        <v>0</v>
      </c>
      <c r="V309" s="14" t="s">
        <v>310</v>
      </c>
    </row>
    <row r="310" spans="1:22" ht="14.25" customHeight="1" x14ac:dyDescent="0.25">
      <c r="A310" s="48" t="str">
        <f>LEFT(Tabelle1[[#This Row],[Artikel'#]],4)</f>
        <v>F028</v>
      </c>
      <c r="B310" s="46" t="str">
        <f>MID(Tabelle1[[#This Row],[Artikel'#]],5,3)</f>
        <v>138</v>
      </c>
      <c r="C310" s="48" t="str">
        <f>RIGHT(Tabelle1[[#This Row],[Artikel'#]],3)</f>
        <v>367</v>
      </c>
      <c r="D310" s="46">
        <f>IF(Tabelle1[[#This Row],[Winkel2]]=select!$A$2,1,0)</f>
        <v>0</v>
      </c>
      <c r="E3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10" s="46">
        <f>IF(select!$E$16=IF(Tabelle1[[#This Row],[mit Dämpfung]]=1,1,IF(Tabelle1[[#This Row],[ohne Dämpfung]]=1,2,IF(Tabelle1[[#This Row],[ohne Feder]]=1,3,0))),1,0)</f>
        <v>1</v>
      </c>
      <c r="G310" s="46">
        <f>IF(Tabelle1[[#This Row],[Links]]=select!$I$2,1,0)</f>
        <v>0</v>
      </c>
      <c r="H310" s="46">
        <f>IF(IF(Tabelle1[[#This Row],[Anschrauben]]=1,1,IF(Tabelle1[[#This Row],[Einpressen]]=1,2,IF(Tabelle1[[#This Row],[Werkzeuglos]]=1,3,0)))=select!$E$7,1,0)</f>
        <v>0</v>
      </c>
      <c r="I310" s="46">
        <f ca="1">IF(Tabelle1[[#This Row],[Winkel]]+Tabelle1[[#This Row],[Kröpfung]]+Tabelle1[[#This Row],[Däpfung]]+Tabelle1[[#This Row],[Bohrbild]]+Tabelle1[[#This Row],[Scharnierbefestigung]]=5,1,0)</f>
        <v>0</v>
      </c>
      <c r="J310" t="str">
        <f ca="1">Sprache!$A$55</f>
        <v>TIOMOS hinge TS-Click-on</v>
      </c>
      <c r="K310" t="s">
        <v>313</v>
      </c>
      <c r="L310" t="str">
        <f ca="1">Sprache!$A$63</f>
        <v>TIOMOS Click-on hinges</v>
      </c>
      <c r="M310">
        <v>9.5</v>
      </c>
      <c r="N310" t="s">
        <v>13</v>
      </c>
      <c r="O310">
        <v>120</v>
      </c>
      <c r="P310">
        <v>1</v>
      </c>
      <c r="Q310">
        <v>0</v>
      </c>
      <c r="R310">
        <v>0</v>
      </c>
      <c r="S310">
        <v>1</v>
      </c>
      <c r="T310">
        <v>0</v>
      </c>
      <c r="U310">
        <v>0</v>
      </c>
      <c r="V310" s="14" t="s">
        <v>312</v>
      </c>
    </row>
    <row r="311" spans="1:22" ht="14.25" customHeight="1" x14ac:dyDescent="0.25">
      <c r="A311" s="48" t="str">
        <f>LEFT(Tabelle1[[#This Row],[Artikel'#]],4)</f>
        <v>F028</v>
      </c>
      <c r="B311" s="46" t="str">
        <f>MID(Tabelle1[[#This Row],[Artikel'#]],5,3)</f>
        <v>138</v>
      </c>
      <c r="C311" s="48" t="str">
        <f>RIGHT(Tabelle1[[#This Row],[Artikel'#]],3)</f>
        <v>369</v>
      </c>
      <c r="D311" s="46">
        <f>IF(Tabelle1[[#This Row],[Winkel2]]=select!$A$2,1,0)</f>
        <v>0</v>
      </c>
      <c r="E3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1" s="46">
        <f>IF(select!$E$16=IF(Tabelle1[[#This Row],[mit Dämpfung]]=1,1,IF(Tabelle1[[#This Row],[ohne Dämpfung]]=1,2,IF(Tabelle1[[#This Row],[ohne Feder]]=1,3,0))),1,0)</f>
        <v>1</v>
      </c>
      <c r="G311" s="46">
        <f>IF(Tabelle1[[#This Row],[Links]]=select!$I$2,1,0)</f>
        <v>0</v>
      </c>
      <c r="H311" s="46">
        <f>IF(IF(Tabelle1[[#This Row],[Anschrauben]]=1,1,IF(Tabelle1[[#This Row],[Einpressen]]=1,2,IF(Tabelle1[[#This Row],[Werkzeuglos]]=1,3,0)))=select!$E$7,1,0)</f>
        <v>1</v>
      </c>
      <c r="I311" s="46">
        <f ca="1">IF(Tabelle1[[#This Row],[Winkel]]+Tabelle1[[#This Row],[Kröpfung]]+Tabelle1[[#This Row],[Däpfung]]+Tabelle1[[#This Row],[Bohrbild]]+Tabelle1[[#This Row],[Scharnierbefestigung]]=5,1,0)</f>
        <v>0</v>
      </c>
      <c r="J311" t="str">
        <f ca="1">Sprache!$A$55</f>
        <v>TIOMOS hinge TS-Click-on</v>
      </c>
      <c r="K311" t="str">
        <f ca="1">"120°, G-BB, K00, "&amp;Sprache!A59&amp;", ni"</f>
        <v>120°, G-BB, K00, Dowel, ni</v>
      </c>
      <c r="L311" t="str">
        <f ca="1">Sprache!$A$63</f>
        <v>TIOMOS Click-on hinges</v>
      </c>
      <c r="M311">
        <v>0</v>
      </c>
      <c r="N311" t="s">
        <v>13</v>
      </c>
      <c r="O311">
        <v>120</v>
      </c>
      <c r="P311">
        <v>1</v>
      </c>
      <c r="Q311">
        <v>0</v>
      </c>
      <c r="R311">
        <v>0</v>
      </c>
      <c r="S311">
        <v>0</v>
      </c>
      <c r="T311">
        <v>1</v>
      </c>
      <c r="U311">
        <v>0</v>
      </c>
      <c r="V311" s="14" t="s">
        <v>314</v>
      </c>
    </row>
    <row r="312" spans="1:22" ht="14.25" customHeight="1" x14ac:dyDescent="0.25">
      <c r="A312" s="48" t="str">
        <f>LEFT(Tabelle1[[#This Row],[Artikel'#]],4)</f>
        <v>F028</v>
      </c>
      <c r="B312" s="46" t="str">
        <f>MID(Tabelle1[[#This Row],[Artikel'#]],5,3)</f>
        <v>138</v>
      </c>
      <c r="C312" s="48" t="str">
        <f>RIGHT(Tabelle1[[#This Row],[Artikel'#]],3)</f>
        <v>370</v>
      </c>
      <c r="D312" s="46">
        <f>IF(Tabelle1[[#This Row],[Winkel2]]=select!$A$2,1,0)</f>
        <v>0</v>
      </c>
      <c r="E3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2" s="46">
        <f>IF(select!$E$16=IF(Tabelle1[[#This Row],[mit Dämpfung]]=1,1,IF(Tabelle1[[#This Row],[ohne Dämpfung]]=1,2,IF(Tabelle1[[#This Row],[ohne Feder]]=1,3,0))),1,0)</f>
        <v>1</v>
      </c>
      <c r="G312" s="46">
        <f>IF(Tabelle1[[#This Row],[Links]]=select!$I$2,1,0)</f>
        <v>0</v>
      </c>
      <c r="H312" s="46">
        <f>IF(IF(Tabelle1[[#This Row],[Anschrauben]]=1,1,IF(Tabelle1[[#This Row],[Einpressen]]=1,2,IF(Tabelle1[[#This Row],[Werkzeuglos]]=1,3,0)))=select!$E$7,1,0)</f>
        <v>1</v>
      </c>
      <c r="I312" s="46">
        <f ca="1">IF(Tabelle1[[#This Row],[Winkel]]+Tabelle1[[#This Row],[Kröpfung]]+Tabelle1[[#This Row],[Däpfung]]+Tabelle1[[#This Row],[Bohrbild]]+Tabelle1[[#This Row],[Scharnierbefestigung]]=5,1,0)</f>
        <v>0</v>
      </c>
      <c r="J312" t="str">
        <f ca="1">Sprache!$A$55</f>
        <v>TIOMOS hinge TS-Click-on</v>
      </c>
      <c r="K312" t="str">
        <f ca="1">"120°, G-BB, K03, "&amp;Sprache!A59&amp;", ni"</f>
        <v>120°, G-BB, K03, Dowel, ni</v>
      </c>
      <c r="L312" t="str">
        <f ca="1">Sprache!$A$63</f>
        <v>TIOMOS Click-on hinges</v>
      </c>
      <c r="M312">
        <v>3</v>
      </c>
      <c r="N312" t="s">
        <v>13</v>
      </c>
      <c r="O312">
        <v>120</v>
      </c>
      <c r="P312">
        <v>1</v>
      </c>
      <c r="Q312">
        <v>0</v>
      </c>
      <c r="R312">
        <v>0</v>
      </c>
      <c r="S312">
        <v>0</v>
      </c>
      <c r="T312">
        <v>1</v>
      </c>
      <c r="U312">
        <v>0</v>
      </c>
      <c r="V312" s="14" t="s">
        <v>315</v>
      </c>
    </row>
    <row r="313" spans="1:22" ht="14.25" customHeight="1" x14ac:dyDescent="0.25">
      <c r="A313" s="48" t="str">
        <f>LEFT(Tabelle1[[#This Row],[Artikel'#]],4)</f>
        <v>F028</v>
      </c>
      <c r="B313" s="46" t="str">
        <f>MID(Tabelle1[[#This Row],[Artikel'#]],5,3)</f>
        <v>138</v>
      </c>
      <c r="C313" s="48" t="str">
        <f>RIGHT(Tabelle1[[#This Row],[Artikel'#]],3)</f>
        <v>371</v>
      </c>
      <c r="D313" s="46">
        <f>IF(Tabelle1[[#This Row],[Winkel2]]=select!$A$2,1,0)</f>
        <v>0</v>
      </c>
      <c r="E3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13" s="46">
        <f>IF(select!$E$16=IF(Tabelle1[[#This Row],[mit Dämpfung]]=1,1,IF(Tabelle1[[#This Row],[ohne Dämpfung]]=1,2,IF(Tabelle1[[#This Row],[ohne Feder]]=1,3,0))),1,0)</f>
        <v>1</v>
      </c>
      <c r="G313" s="46">
        <f>IF(Tabelle1[[#This Row],[Links]]=select!$I$2,1,0)</f>
        <v>0</v>
      </c>
      <c r="H313" s="46">
        <f>IF(IF(Tabelle1[[#This Row],[Anschrauben]]=1,1,IF(Tabelle1[[#This Row],[Einpressen]]=1,2,IF(Tabelle1[[#This Row],[Werkzeuglos]]=1,3,0)))=select!$E$7,1,0)</f>
        <v>1</v>
      </c>
      <c r="I313" s="46">
        <f ca="1">IF(Tabelle1[[#This Row],[Winkel]]+Tabelle1[[#This Row],[Kröpfung]]+Tabelle1[[#This Row],[Däpfung]]+Tabelle1[[#This Row],[Bohrbild]]+Tabelle1[[#This Row],[Scharnierbefestigung]]=5,1,0)</f>
        <v>0</v>
      </c>
      <c r="J313" t="str">
        <f ca="1">Sprache!$A$55</f>
        <v>TIOMOS hinge TS-Click-on</v>
      </c>
      <c r="K313" t="str">
        <f ca="1">"120°, G-BB, K95, "&amp;Sprache!A59&amp;", ni"</f>
        <v>120°, G-BB, K95, Dowel, ni</v>
      </c>
      <c r="L313" t="str">
        <f ca="1">Sprache!$A$63</f>
        <v>TIOMOS Click-on hinges</v>
      </c>
      <c r="M313">
        <v>9.5</v>
      </c>
      <c r="N313" t="s">
        <v>13</v>
      </c>
      <c r="O313">
        <v>120</v>
      </c>
      <c r="P313">
        <v>1</v>
      </c>
      <c r="Q313">
        <v>0</v>
      </c>
      <c r="R313">
        <v>0</v>
      </c>
      <c r="S313">
        <v>0</v>
      </c>
      <c r="T313">
        <v>1</v>
      </c>
      <c r="U313">
        <v>0</v>
      </c>
      <c r="V313" s="14" t="s">
        <v>316</v>
      </c>
    </row>
    <row r="314" spans="1:22" ht="14.25" customHeight="1" x14ac:dyDescent="0.25">
      <c r="A314" s="48" t="str">
        <f>LEFT(Tabelle1[[#This Row],[Artikel'#]],4)</f>
        <v>F028</v>
      </c>
      <c r="B314" s="46" t="str">
        <f>MID(Tabelle1[[#This Row],[Artikel'#]],5,3)</f>
        <v>138</v>
      </c>
      <c r="C314" s="48" t="str">
        <f>RIGHT(Tabelle1[[#This Row],[Artikel'#]],3)</f>
        <v>379</v>
      </c>
      <c r="D314" s="46">
        <f>IF(Tabelle1[[#This Row],[Winkel2]]=select!$A$2,1,0)</f>
        <v>0</v>
      </c>
      <c r="E3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4" s="46">
        <f>IF(select!$E$16=IF(Tabelle1[[#This Row],[mit Dämpfung]]=1,1,IF(Tabelle1[[#This Row],[ohne Dämpfung]]=1,2,IF(Tabelle1[[#This Row],[ohne Feder]]=1,3,0))),1,0)</f>
        <v>1</v>
      </c>
      <c r="G314" s="46">
        <f>IF(Tabelle1[[#This Row],[Links]]=select!$I$2,1,0)</f>
        <v>0</v>
      </c>
      <c r="H314" s="46">
        <f>IF(IF(Tabelle1[[#This Row],[Anschrauben]]=1,1,IF(Tabelle1[[#This Row],[Einpressen]]=1,2,IF(Tabelle1[[#This Row],[Werkzeuglos]]=1,3,0)))=select!$E$7,1,0)</f>
        <v>0</v>
      </c>
      <c r="I314" s="46">
        <f ca="1">IF(Tabelle1[[#This Row],[Winkel]]+Tabelle1[[#This Row],[Kröpfung]]+Tabelle1[[#This Row],[Däpfung]]+Tabelle1[[#This Row],[Bohrbild]]+Tabelle1[[#This Row],[Scharnierbefestigung]]=5,1,0)</f>
        <v>0</v>
      </c>
      <c r="J314" t="str">
        <f ca="1">Sprache!$A$55</f>
        <v>TIOMOS hinge TS-Click-on</v>
      </c>
      <c r="K314" t="s">
        <v>318</v>
      </c>
      <c r="L314" t="str">
        <f ca="1">Sprache!$A$63</f>
        <v>TIOMOS Click-on hinges</v>
      </c>
      <c r="M314">
        <v>0</v>
      </c>
      <c r="N314" s="13" t="s">
        <v>13</v>
      </c>
      <c r="O314">
        <v>160</v>
      </c>
      <c r="P314">
        <v>1</v>
      </c>
      <c r="Q314">
        <v>0</v>
      </c>
      <c r="R314">
        <v>0</v>
      </c>
      <c r="S314">
        <v>1</v>
      </c>
      <c r="T314">
        <v>0</v>
      </c>
      <c r="U314">
        <v>0</v>
      </c>
      <c r="V314" s="14" t="s">
        <v>317</v>
      </c>
    </row>
    <row r="315" spans="1:22" ht="14.25" customHeight="1" x14ac:dyDescent="0.25">
      <c r="A315" s="48" t="str">
        <f>LEFT(Tabelle1[[#This Row],[Artikel'#]],4)</f>
        <v>F028</v>
      </c>
      <c r="B315" s="46" t="str">
        <f>MID(Tabelle1[[#This Row],[Artikel'#]],5,3)</f>
        <v>138</v>
      </c>
      <c r="C315" s="48" t="str">
        <f>RIGHT(Tabelle1[[#This Row],[Artikel'#]],3)</f>
        <v>380</v>
      </c>
      <c r="D315" s="46">
        <f>IF(Tabelle1[[#This Row],[Winkel2]]=select!$A$2,1,0)</f>
        <v>0</v>
      </c>
      <c r="E3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5" s="46">
        <f>IF(select!$E$16=IF(Tabelle1[[#This Row],[mit Dämpfung]]=1,1,IF(Tabelle1[[#This Row],[ohne Dämpfung]]=1,2,IF(Tabelle1[[#This Row],[ohne Feder]]=1,3,0))),1,0)</f>
        <v>1</v>
      </c>
      <c r="G315" s="46">
        <f>IF(Tabelle1[[#This Row],[Links]]=select!$I$2,1,0)</f>
        <v>0</v>
      </c>
      <c r="H315" s="46">
        <f>IF(IF(Tabelle1[[#This Row],[Anschrauben]]=1,1,IF(Tabelle1[[#This Row],[Einpressen]]=1,2,IF(Tabelle1[[#This Row],[Werkzeuglos]]=1,3,0)))=select!$E$7,1,0)</f>
        <v>0</v>
      </c>
      <c r="I315" s="46">
        <f ca="1">IF(Tabelle1[[#This Row],[Winkel]]+Tabelle1[[#This Row],[Kröpfung]]+Tabelle1[[#This Row],[Däpfung]]+Tabelle1[[#This Row],[Bohrbild]]+Tabelle1[[#This Row],[Scharnierbefestigung]]=5,1,0)</f>
        <v>0</v>
      </c>
      <c r="J315" t="str">
        <f ca="1">Sprache!$A$55</f>
        <v>TIOMOS hinge TS-Click-on</v>
      </c>
      <c r="K315" t="s">
        <v>320</v>
      </c>
      <c r="L315" t="str">
        <f ca="1">Sprache!$A$63</f>
        <v>TIOMOS Click-on hinges</v>
      </c>
      <c r="M315">
        <v>3</v>
      </c>
      <c r="N315" t="s">
        <v>13</v>
      </c>
      <c r="O315">
        <v>160</v>
      </c>
      <c r="P315">
        <v>1</v>
      </c>
      <c r="Q315">
        <v>0</v>
      </c>
      <c r="R315">
        <v>0</v>
      </c>
      <c r="S315">
        <v>1</v>
      </c>
      <c r="T315">
        <v>0</v>
      </c>
      <c r="U315">
        <v>0</v>
      </c>
      <c r="V315" s="14" t="s">
        <v>319</v>
      </c>
    </row>
    <row r="316" spans="1:22" ht="14.25" customHeight="1" x14ac:dyDescent="0.25">
      <c r="A316" s="48" t="str">
        <f>LEFT(Tabelle1[[#This Row],[Artikel'#]],4)</f>
        <v>F028</v>
      </c>
      <c r="B316" s="46" t="str">
        <f>MID(Tabelle1[[#This Row],[Artikel'#]],5,3)</f>
        <v>138</v>
      </c>
      <c r="C316" s="48" t="str">
        <f>RIGHT(Tabelle1[[#This Row],[Artikel'#]],3)</f>
        <v>381</v>
      </c>
      <c r="D316" s="46">
        <f>IF(Tabelle1[[#This Row],[Winkel2]]=select!$A$2,1,0)</f>
        <v>0</v>
      </c>
      <c r="E3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16" s="46">
        <f>IF(select!$E$16=IF(Tabelle1[[#This Row],[mit Dämpfung]]=1,1,IF(Tabelle1[[#This Row],[ohne Dämpfung]]=1,2,IF(Tabelle1[[#This Row],[ohne Feder]]=1,3,0))),1,0)</f>
        <v>1</v>
      </c>
      <c r="G316" s="46">
        <f>IF(Tabelle1[[#This Row],[Links]]=select!$I$2,1,0)</f>
        <v>0</v>
      </c>
      <c r="H316" s="46">
        <f>IF(IF(Tabelle1[[#This Row],[Anschrauben]]=1,1,IF(Tabelle1[[#This Row],[Einpressen]]=1,2,IF(Tabelle1[[#This Row],[Werkzeuglos]]=1,3,0)))=select!$E$7,1,0)</f>
        <v>0</v>
      </c>
      <c r="I316" s="46">
        <f ca="1">IF(Tabelle1[[#This Row],[Winkel]]+Tabelle1[[#This Row],[Kröpfung]]+Tabelle1[[#This Row],[Däpfung]]+Tabelle1[[#This Row],[Bohrbild]]+Tabelle1[[#This Row],[Scharnierbefestigung]]=5,1,0)</f>
        <v>0</v>
      </c>
      <c r="J316" t="str">
        <f ca="1">Sprache!$A$55</f>
        <v>TIOMOS hinge TS-Click-on</v>
      </c>
      <c r="K316" t="s">
        <v>322</v>
      </c>
      <c r="L316" t="str">
        <f ca="1">Sprache!$A$63</f>
        <v>TIOMOS Click-on hinges</v>
      </c>
      <c r="M316">
        <v>9.5</v>
      </c>
      <c r="N316" t="s">
        <v>13</v>
      </c>
      <c r="O316">
        <v>160</v>
      </c>
      <c r="P316">
        <v>1</v>
      </c>
      <c r="Q316">
        <v>0</v>
      </c>
      <c r="R316">
        <v>0</v>
      </c>
      <c r="S316">
        <v>1</v>
      </c>
      <c r="T316">
        <v>0</v>
      </c>
      <c r="U316">
        <v>0</v>
      </c>
      <c r="V316" s="14" t="s">
        <v>321</v>
      </c>
    </row>
    <row r="317" spans="1:22" ht="14.25" customHeight="1" x14ac:dyDescent="0.25">
      <c r="A317" s="48" t="str">
        <f>LEFT(Tabelle1[[#This Row],[Artikel'#]],4)</f>
        <v>F028</v>
      </c>
      <c r="B317" s="46" t="str">
        <f>MID(Tabelle1[[#This Row],[Artikel'#]],5,3)</f>
        <v>138</v>
      </c>
      <c r="C317" s="48" t="str">
        <f>RIGHT(Tabelle1[[#This Row],[Artikel'#]],3)</f>
        <v>382</v>
      </c>
      <c r="D317" s="46">
        <f>IF(Tabelle1[[#This Row],[Winkel2]]=select!$A$2,1,0)</f>
        <v>0</v>
      </c>
      <c r="E3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7" s="46">
        <f>IF(select!$E$16=IF(Tabelle1[[#This Row],[mit Dämpfung]]=1,1,IF(Tabelle1[[#This Row],[ohne Dämpfung]]=1,2,IF(Tabelle1[[#This Row],[ohne Feder]]=1,3,0))),1,0)</f>
        <v>1</v>
      </c>
      <c r="G317" s="46">
        <f>IF(Tabelle1[[#This Row],[Links]]=select!$I$2,1,0)</f>
        <v>0</v>
      </c>
      <c r="H317" s="46">
        <f>IF(IF(Tabelle1[[#This Row],[Anschrauben]]=1,1,IF(Tabelle1[[#This Row],[Einpressen]]=1,2,IF(Tabelle1[[#This Row],[Werkzeuglos]]=1,3,0)))=select!$E$7,1,0)</f>
        <v>1</v>
      </c>
      <c r="I317" s="46">
        <f ca="1">IF(Tabelle1[[#This Row],[Winkel]]+Tabelle1[[#This Row],[Kröpfung]]+Tabelle1[[#This Row],[Däpfung]]+Tabelle1[[#This Row],[Bohrbild]]+Tabelle1[[#This Row],[Scharnierbefestigung]]=5,1,0)</f>
        <v>0</v>
      </c>
      <c r="J317" t="str">
        <f ca="1">Sprache!$A$55</f>
        <v>TIOMOS hinge TS-Click-on</v>
      </c>
      <c r="K317" t="str">
        <f ca="1">"160°, G-BB, K00, "&amp;Sprache!A59&amp;", ni"</f>
        <v>160°, G-BB, K00, Dowel, ni</v>
      </c>
      <c r="L317" t="str">
        <f ca="1">Sprache!$A$63</f>
        <v>TIOMOS Click-on hinges</v>
      </c>
      <c r="M317">
        <v>0</v>
      </c>
      <c r="N317" s="13" t="s">
        <v>13</v>
      </c>
      <c r="O317">
        <v>160</v>
      </c>
      <c r="P317">
        <v>1</v>
      </c>
      <c r="Q317">
        <v>0</v>
      </c>
      <c r="R317">
        <v>0</v>
      </c>
      <c r="S317">
        <v>0</v>
      </c>
      <c r="T317">
        <v>1</v>
      </c>
      <c r="U317">
        <v>0</v>
      </c>
      <c r="V317" s="14" t="s">
        <v>323</v>
      </c>
    </row>
    <row r="318" spans="1:22" ht="14.25" customHeight="1" x14ac:dyDescent="0.25">
      <c r="A318" s="48" t="str">
        <f>LEFT(Tabelle1[[#This Row],[Artikel'#]],4)</f>
        <v>F028</v>
      </c>
      <c r="B318" s="46" t="str">
        <f>MID(Tabelle1[[#This Row],[Artikel'#]],5,3)</f>
        <v>138</v>
      </c>
      <c r="C318" s="48" t="str">
        <f>RIGHT(Tabelle1[[#This Row],[Artikel'#]],3)</f>
        <v>383</v>
      </c>
      <c r="D318" s="46">
        <f>IF(Tabelle1[[#This Row],[Winkel2]]=select!$A$2,1,0)</f>
        <v>0</v>
      </c>
      <c r="E3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18" s="46">
        <f>IF(select!$E$16=IF(Tabelle1[[#This Row],[mit Dämpfung]]=1,1,IF(Tabelle1[[#This Row],[ohne Dämpfung]]=1,2,IF(Tabelle1[[#This Row],[ohne Feder]]=1,3,0))),1,0)</f>
        <v>1</v>
      </c>
      <c r="G318" s="46">
        <f>IF(Tabelle1[[#This Row],[Links]]=select!$I$2,1,0)</f>
        <v>0</v>
      </c>
      <c r="H318" s="46">
        <f>IF(IF(Tabelle1[[#This Row],[Anschrauben]]=1,1,IF(Tabelle1[[#This Row],[Einpressen]]=1,2,IF(Tabelle1[[#This Row],[Werkzeuglos]]=1,3,0)))=select!$E$7,1,0)</f>
        <v>1</v>
      </c>
      <c r="I318" s="46">
        <f ca="1">IF(Tabelle1[[#This Row],[Winkel]]+Tabelle1[[#This Row],[Kröpfung]]+Tabelle1[[#This Row],[Däpfung]]+Tabelle1[[#This Row],[Bohrbild]]+Tabelle1[[#This Row],[Scharnierbefestigung]]=5,1,0)</f>
        <v>0</v>
      </c>
      <c r="J318" t="str">
        <f ca="1">Sprache!$A$55</f>
        <v>TIOMOS hinge TS-Click-on</v>
      </c>
      <c r="K318" t="str">
        <f ca="1">"160°, G-BB, K03, "&amp;Sprache!A59&amp;", ni"</f>
        <v>160°, G-BB, K03, Dowel, ni</v>
      </c>
      <c r="L318" t="str">
        <f ca="1">Sprache!$A$63</f>
        <v>TIOMOS Click-on hinges</v>
      </c>
      <c r="M318">
        <v>3</v>
      </c>
      <c r="N318" t="s">
        <v>13</v>
      </c>
      <c r="O318">
        <v>160</v>
      </c>
      <c r="P318">
        <v>1</v>
      </c>
      <c r="Q318">
        <v>0</v>
      </c>
      <c r="R318">
        <v>0</v>
      </c>
      <c r="S318">
        <v>0</v>
      </c>
      <c r="T318">
        <v>1</v>
      </c>
      <c r="U318">
        <v>0</v>
      </c>
      <c r="V318" s="14" t="s">
        <v>324</v>
      </c>
    </row>
    <row r="319" spans="1:22" ht="14.25" customHeight="1" x14ac:dyDescent="0.25">
      <c r="A319" s="48" t="str">
        <f>LEFT(Tabelle1[[#This Row],[Artikel'#]],4)</f>
        <v>F028</v>
      </c>
      <c r="B319" s="46" t="str">
        <f>MID(Tabelle1[[#This Row],[Artikel'#]],5,3)</f>
        <v>138</v>
      </c>
      <c r="C319" s="48" t="str">
        <f>RIGHT(Tabelle1[[#This Row],[Artikel'#]],3)</f>
        <v>384</v>
      </c>
      <c r="D319" s="46">
        <f>IF(Tabelle1[[#This Row],[Winkel2]]=select!$A$2,1,0)</f>
        <v>0</v>
      </c>
      <c r="E3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19" s="46">
        <f>IF(select!$E$16=IF(Tabelle1[[#This Row],[mit Dämpfung]]=1,1,IF(Tabelle1[[#This Row],[ohne Dämpfung]]=1,2,IF(Tabelle1[[#This Row],[ohne Feder]]=1,3,0))),1,0)</f>
        <v>1</v>
      </c>
      <c r="G319" s="46">
        <f>IF(Tabelle1[[#This Row],[Links]]=select!$I$2,1,0)</f>
        <v>0</v>
      </c>
      <c r="H319" s="46">
        <f>IF(IF(Tabelle1[[#This Row],[Anschrauben]]=1,1,IF(Tabelle1[[#This Row],[Einpressen]]=1,2,IF(Tabelle1[[#This Row],[Werkzeuglos]]=1,3,0)))=select!$E$7,1,0)</f>
        <v>1</v>
      </c>
      <c r="I319" s="46">
        <f ca="1">IF(Tabelle1[[#This Row],[Winkel]]+Tabelle1[[#This Row],[Kröpfung]]+Tabelle1[[#This Row],[Däpfung]]+Tabelle1[[#This Row],[Bohrbild]]+Tabelle1[[#This Row],[Scharnierbefestigung]]=5,1,0)</f>
        <v>0</v>
      </c>
      <c r="J319" t="str">
        <f ca="1">Sprache!$A$55</f>
        <v>TIOMOS hinge TS-Click-on</v>
      </c>
      <c r="K319" t="str">
        <f ca="1">"160°, G-BB, K95, "&amp;Sprache!A59&amp;", ni"</f>
        <v>160°, G-BB, K95, Dowel, ni</v>
      </c>
      <c r="L319" t="str">
        <f ca="1">Sprache!$A$63</f>
        <v>TIOMOS Click-on hinges</v>
      </c>
      <c r="M319">
        <v>9.5</v>
      </c>
      <c r="N319" t="s">
        <v>13</v>
      </c>
      <c r="O319">
        <v>160</v>
      </c>
      <c r="P319">
        <v>1</v>
      </c>
      <c r="Q319">
        <v>0</v>
      </c>
      <c r="R319">
        <v>0</v>
      </c>
      <c r="S319">
        <v>0</v>
      </c>
      <c r="T319">
        <v>1</v>
      </c>
      <c r="U319">
        <v>0</v>
      </c>
      <c r="V319" s="14" t="s">
        <v>325</v>
      </c>
    </row>
    <row r="320" spans="1:22" ht="14.25" customHeight="1" x14ac:dyDescent="0.25">
      <c r="A320" s="48" t="str">
        <f>LEFT(Tabelle1[[#This Row],[Artikel'#]],4)</f>
        <v>F028</v>
      </c>
      <c r="B320" s="46" t="str">
        <f>MID(Tabelle1[[#This Row],[Artikel'#]],5,3)</f>
        <v>138</v>
      </c>
      <c r="C320" s="48" t="str">
        <f>RIGHT(Tabelle1[[#This Row],[Artikel'#]],3)</f>
        <v>385</v>
      </c>
      <c r="D320" s="46">
        <f>IF(Tabelle1[[#This Row],[Winkel2]]=select!$A$2,1,0)</f>
        <v>0</v>
      </c>
      <c r="E3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0" s="46">
        <f>IF(select!$E$16=IF(Tabelle1[[#This Row],[mit Dämpfung]]=1,1,IF(Tabelle1[[#This Row],[ohne Dämpfung]]=1,2,IF(Tabelle1[[#This Row],[ohne Feder]]=1,3,0))),1,0)</f>
        <v>1</v>
      </c>
      <c r="G320" s="46">
        <f>IF(Tabelle1[[#This Row],[Links]]=select!$I$2,1,0)</f>
        <v>0</v>
      </c>
      <c r="H320" s="46">
        <f>IF(IF(Tabelle1[[#This Row],[Anschrauben]]=1,1,IF(Tabelle1[[#This Row],[Einpressen]]=1,2,IF(Tabelle1[[#This Row],[Werkzeuglos]]=1,3,0)))=select!$E$7,1,0)</f>
        <v>0</v>
      </c>
      <c r="I320" s="46">
        <f ca="1">IF(Tabelle1[[#This Row],[Winkel]]+Tabelle1[[#This Row],[Kröpfung]]+Tabelle1[[#This Row],[Däpfung]]+Tabelle1[[#This Row],[Bohrbild]]+Tabelle1[[#This Row],[Scharnierbefestigung]]=5,1,0)</f>
        <v>0</v>
      </c>
      <c r="J320" t="str">
        <f ca="1">Sprache!$A$55</f>
        <v>TIOMOS hinge TS-Click-on</v>
      </c>
      <c r="K320" t="s">
        <v>327</v>
      </c>
      <c r="L320" t="str">
        <f ca="1">Sprache!$A$63</f>
        <v>TIOMOS Click-on hinges</v>
      </c>
      <c r="M320">
        <v>0</v>
      </c>
      <c r="N320" t="s">
        <v>13</v>
      </c>
      <c r="O320">
        <v>95</v>
      </c>
      <c r="P320">
        <v>1</v>
      </c>
      <c r="Q320">
        <v>0</v>
      </c>
      <c r="R320">
        <v>0</v>
      </c>
      <c r="S320">
        <v>1</v>
      </c>
      <c r="T320">
        <v>0</v>
      </c>
      <c r="U320">
        <v>0</v>
      </c>
      <c r="V320" s="14" t="s">
        <v>326</v>
      </c>
    </row>
    <row r="321" spans="1:22" ht="14.25" customHeight="1" x14ac:dyDescent="0.25">
      <c r="A321" s="48" t="str">
        <f>LEFT(Tabelle1[[#This Row],[Artikel'#]],4)</f>
        <v>F028</v>
      </c>
      <c r="B321" s="46" t="str">
        <f>MID(Tabelle1[[#This Row],[Artikel'#]],5,3)</f>
        <v>138</v>
      </c>
      <c r="C321" s="48" t="str">
        <f>RIGHT(Tabelle1[[#This Row],[Artikel'#]],3)</f>
        <v>386</v>
      </c>
      <c r="D321" s="46">
        <f>IF(Tabelle1[[#This Row],[Winkel2]]=select!$A$2,1,0)</f>
        <v>0</v>
      </c>
      <c r="E3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1" s="46">
        <f>IF(select!$E$16=IF(Tabelle1[[#This Row],[mit Dämpfung]]=1,1,IF(Tabelle1[[#This Row],[ohne Dämpfung]]=1,2,IF(Tabelle1[[#This Row],[ohne Feder]]=1,3,0))),1,0)</f>
        <v>1</v>
      </c>
      <c r="G321" s="46">
        <f>IF(Tabelle1[[#This Row],[Links]]=select!$I$2,1,0)</f>
        <v>0</v>
      </c>
      <c r="H321" s="46">
        <f>IF(IF(Tabelle1[[#This Row],[Anschrauben]]=1,1,IF(Tabelle1[[#This Row],[Einpressen]]=1,2,IF(Tabelle1[[#This Row],[Werkzeuglos]]=1,3,0)))=select!$E$7,1,0)</f>
        <v>0</v>
      </c>
      <c r="I321" s="46">
        <f ca="1">IF(Tabelle1[[#This Row],[Winkel]]+Tabelle1[[#This Row],[Kröpfung]]+Tabelle1[[#This Row],[Däpfung]]+Tabelle1[[#This Row],[Bohrbild]]+Tabelle1[[#This Row],[Scharnierbefestigung]]=5,1,0)</f>
        <v>0</v>
      </c>
      <c r="J321" t="str">
        <f ca="1">Sprache!$A$55</f>
        <v>TIOMOS hinge TS-Click-on</v>
      </c>
      <c r="K321" t="s">
        <v>329</v>
      </c>
      <c r="L321" t="str">
        <f ca="1">Sprache!$A$63</f>
        <v>TIOMOS Click-on hinges</v>
      </c>
      <c r="M321">
        <v>3</v>
      </c>
      <c r="N321" t="s">
        <v>13</v>
      </c>
      <c r="O321">
        <v>95</v>
      </c>
      <c r="P321">
        <v>1</v>
      </c>
      <c r="Q321">
        <v>0</v>
      </c>
      <c r="R321">
        <v>0</v>
      </c>
      <c r="S321">
        <v>1</v>
      </c>
      <c r="T321">
        <v>0</v>
      </c>
      <c r="U321">
        <v>0</v>
      </c>
      <c r="V321" s="14" t="s">
        <v>328</v>
      </c>
    </row>
    <row r="322" spans="1:22" ht="14.25" customHeight="1" x14ac:dyDescent="0.25">
      <c r="A322" s="48" t="str">
        <f>LEFT(Tabelle1[[#This Row],[Artikel'#]],4)</f>
        <v>F028</v>
      </c>
      <c r="B322" s="46" t="str">
        <f>MID(Tabelle1[[#This Row],[Artikel'#]],5,3)</f>
        <v>138</v>
      </c>
      <c r="C322" s="48" t="str">
        <f>RIGHT(Tabelle1[[#This Row],[Artikel'#]],3)</f>
        <v>387</v>
      </c>
      <c r="D322" s="46">
        <f>IF(Tabelle1[[#This Row],[Winkel2]]=select!$A$2,1,0)</f>
        <v>0</v>
      </c>
      <c r="E3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22" s="46">
        <f>IF(select!$E$16=IF(Tabelle1[[#This Row],[mit Dämpfung]]=1,1,IF(Tabelle1[[#This Row],[ohne Dämpfung]]=1,2,IF(Tabelle1[[#This Row],[ohne Feder]]=1,3,0))),1,0)</f>
        <v>1</v>
      </c>
      <c r="G322" s="46">
        <f>IF(Tabelle1[[#This Row],[Links]]=select!$I$2,1,0)</f>
        <v>0</v>
      </c>
      <c r="H322" s="46">
        <f>IF(IF(Tabelle1[[#This Row],[Anschrauben]]=1,1,IF(Tabelle1[[#This Row],[Einpressen]]=1,2,IF(Tabelle1[[#This Row],[Werkzeuglos]]=1,3,0)))=select!$E$7,1,0)</f>
        <v>0</v>
      </c>
      <c r="I322" s="46">
        <f ca="1">IF(Tabelle1[[#This Row],[Winkel]]+Tabelle1[[#This Row],[Kröpfung]]+Tabelle1[[#This Row],[Däpfung]]+Tabelle1[[#This Row],[Bohrbild]]+Tabelle1[[#This Row],[Scharnierbefestigung]]=5,1,0)</f>
        <v>0</v>
      </c>
      <c r="J322" t="str">
        <f ca="1">Sprache!$A$55</f>
        <v>TIOMOS hinge TS-Click-on</v>
      </c>
      <c r="K322" t="s">
        <v>331</v>
      </c>
      <c r="L322" t="str">
        <f ca="1">Sprache!$A$63</f>
        <v>TIOMOS Click-on hinges</v>
      </c>
      <c r="M322">
        <v>9.5</v>
      </c>
      <c r="N322" t="s">
        <v>13</v>
      </c>
      <c r="O322">
        <v>95</v>
      </c>
      <c r="P322">
        <v>1</v>
      </c>
      <c r="Q322">
        <v>0</v>
      </c>
      <c r="R322">
        <v>0</v>
      </c>
      <c r="S322">
        <v>1</v>
      </c>
      <c r="T322">
        <v>0</v>
      </c>
      <c r="U322">
        <v>0</v>
      </c>
      <c r="V322" s="14" t="s">
        <v>330</v>
      </c>
    </row>
    <row r="323" spans="1:22" ht="14.25" customHeight="1" x14ac:dyDescent="0.25">
      <c r="A323" s="48" t="str">
        <f>LEFT(Tabelle1[[#This Row],[Artikel'#]],4)</f>
        <v>F028</v>
      </c>
      <c r="B323" s="46" t="str">
        <f>MID(Tabelle1[[#This Row],[Artikel'#]],5,3)</f>
        <v>138</v>
      </c>
      <c r="C323" s="48" t="str">
        <f>RIGHT(Tabelle1[[#This Row],[Artikel'#]],3)</f>
        <v>388</v>
      </c>
      <c r="D323" s="46">
        <f>IF(Tabelle1[[#This Row],[Winkel2]]=select!$A$2,1,0)</f>
        <v>0</v>
      </c>
      <c r="E3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3" s="46">
        <f>IF(select!$E$16=IF(Tabelle1[[#This Row],[mit Dämpfung]]=1,1,IF(Tabelle1[[#This Row],[ohne Dämpfung]]=1,2,IF(Tabelle1[[#This Row],[ohne Feder]]=1,3,0))),1,0)</f>
        <v>1</v>
      </c>
      <c r="G323" s="46">
        <f>IF(Tabelle1[[#This Row],[Links]]=select!$I$2,1,0)</f>
        <v>0</v>
      </c>
      <c r="H323" s="46">
        <f>IF(IF(Tabelle1[[#This Row],[Anschrauben]]=1,1,IF(Tabelle1[[#This Row],[Einpressen]]=1,2,IF(Tabelle1[[#This Row],[Werkzeuglos]]=1,3,0)))=select!$E$7,1,0)</f>
        <v>0</v>
      </c>
      <c r="I323" s="46">
        <f ca="1">IF(Tabelle1[[#This Row],[Winkel]]+Tabelle1[[#This Row],[Kröpfung]]+Tabelle1[[#This Row],[Däpfung]]+Tabelle1[[#This Row],[Bohrbild]]+Tabelle1[[#This Row],[Scharnierbefestigung]]=5,1,0)</f>
        <v>0</v>
      </c>
      <c r="J323" t="str">
        <f ca="1">Sprache!$A$55</f>
        <v>TIOMOS hinge TS-Click-on</v>
      </c>
      <c r="K323" t="s">
        <v>333</v>
      </c>
      <c r="L323" t="str">
        <f ca="1">Sprache!$A$63</f>
        <v>TIOMOS Click-on hinges</v>
      </c>
      <c r="M323">
        <v>19</v>
      </c>
      <c r="N323" t="s">
        <v>13</v>
      </c>
      <c r="O323">
        <v>95</v>
      </c>
      <c r="P323">
        <v>1</v>
      </c>
      <c r="Q323">
        <v>0</v>
      </c>
      <c r="R323">
        <v>0</v>
      </c>
      <c r="S323">
        <v>1</v>
      </c>
      <c r="T323">
        <v>0</v>
      </c>
      <c r="U323">
        <v>0</v>
      </c>
      <c r="V323" s="14" t="s">
        <v>332</v>
      </c>
    </row>
    <row r="324" spans="1:22" ht="14.25" customHeight="1" x14ac:dyDescent="0.25">
      <c r="A324" s="48" t="str">
        <f>LEFT(Tabelle1[[#This Row],[Artikel'#]],4)</f>
        <v>F028</v>
      </c>
      <c r="B324" s="46" t="str">
        <f>MID(Tabelle1[[#This Row],[Artikel'#]],5,3)</f>
        <v>138</v>
      </c>
      <c r="C324" s="48" t="str">
        <f>RIGHT(Tabelle1[[#This Row],[Artikel'#]],3)</f>
        <v>389</v>
      </c>
      <c r="D324" s="46">
        <f>IF(Tabelle1[[#This Row],[Winkel2]]=select!$A$2,1,0)</f>
        <v>0</v>
      </c>
      <c r="E3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4" s="46">
        <f>IF(select!$E$16=IF(Tabelle1[[#This Row],[mit Dämpfung]]=1,1,IF(Tabelle1[[#This Row],[ohne Dämpfung]]=1,2,IF(Tabelle1[[#This Row],[ohne Feder]]=1,3,0))),1,0)</f>
        <v>1</v>
      </c>
      <c r="G324" s="46">
        <f>IF(Tabelle1[[#This Row],[Links]]=select!$I$2,1,0)</f>
        <v>0</v>
      </c>
      <c r="H324" s="46">
        <f>IF(IF(Tabelle1[[#This Row],[Anschrauben]]=1,1,IF(Tabelle1[[#This Row],[Einpressen]]=1,2,IF(Tabelle1[[#This Row],[Werkzeuglos]]=1,3,0)))=select!$E$7,1,0)</f>
        <v>1</v>
      </c>
      <c r="I324" s="46">
        <f ca="1">IF(Tabelle1[[#This Row],[Winkel]]+Tabelle1[[#This Row],[Kröpfung]]+Tabelle1[[#This Row],[Däpfung]]+Tabelle1[[#This Row],[Bohrbild]]+Tabelle1[[#This Row],[Scharnierbefestigung]]=5,1,0)</f>
        <v>0</v>
      </c>
      <c r="J324" t="str">
        <f ca="1">Sprache!$A$55</f>
        <v>TIOMOS hinge TS-Click-on</v>
      </c>
      <c r="K324" t="str">
        <f ca="1">"95°, G-BB, K00, "&amp;Sprache!A59&amp;", ni"</f>
        <v>95°, G-BB, K00, Dowel, ni</v>
      </c>
      <c r="L324" t="str">
        <f ca="1">Sprache!$A$63</f>
        <v>TIOMOS Click-on hinges</v>
      </c>
      <c r="M324">
        <v>0</v>
      </c>
      <c r="N324" t="s">
        <v>13</v>
      </c>
      <c r="O324">
        <v>95</v>
      </c>
      <c r="P324">
        <v>1</v>
      </c>
      <c r="Q324">
        <v>0</v>
      </c>
      <c r="R324">
        <v>0</v>
      </c>
      <c r="S324">
        <v>0</v>
      </c>
      <c r="T324">
        <v>1</v>
      </c>
      <c r="U324">
        <v>0</v>
      </c>
      <c r="V324" s="14" t="s">
        <v>334</v>
      </c>
    </row>
    <row r="325" spans="1:22" ht="14.25" customHeight="1" x14ac:dyDescent="0.25">
      <c r="A325" s="48" t="str">
        <f>LEFT(Tabelle1[[#This Row],[Artikel'#]],4)</f>
        <v>F028</v>
      </c>
      <c r="B325" s="46" t="str">
        <f>MID(Tabelle1[[#This Row],[Artikel'#]],5,3)</f>
        <v>138</v>
      </c>
      <c r="C325" s="48" t="str">
        <f>RIGHT(Tabelle1[[#This Row],[Artikel'#]],3)</f>
        <v>390</v>
      </c>
      <c r="D325" s="46">
        <f>IF(Tabelle1[[#This Row],[Winkel2]]=select!$A$2,1,0)</f>
        <v>0</v>
      </c>
      <c r="E3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5" s="46">
        <f>IF(select!$E$16=IF(Tabelle1[[#This Row],[mit Dämpfung]]=1,1,IF(Tabelle1[[#This Row],[ohne Dämpfung]]=1,2,IF(Tabelle1[[#This Row],[ohne Feder]]=1,3,0))),1,0)</f>
        <v>1</v>
      </c>
      <c r="G325" s="46">
        <f>IF(Tabelle1[[#This Row],[Links]]=select!$I$2,1,0)</f>
        <v>0</v>
      </c>
      <c r="H325" s="46">
        <f>IF(IF(Tabelle1[[#This Row],[Anschrauben]]=1,1,IF(Tabelle1[[#This Row],[Einpressen]]=1,2,IF(Tabelle1[[#This Row],[Werkzeuglos]]=1,3,0)))=select!$E$7,1,0)</f>
        <v>1</v>
      </c>
      <c r="I325" s="46">
        <f ca="1">IF(Tabelle1[[#This Row],[Winkel]]+Tabelle1[[#This Row],[Kröpfung]]+Tabelle1[[#This Row],[Däpfung]]+Tabelle1[[#This Row],[Bohrbild]]+Tabelle1[[#This Row],[Scharnierbefestigung]]=5,1,0)</f>
        <v>0</v>
      </c>
      <c r="J325" t="str">
        <f ca="1">Sprache!$A$55</f>
        <v>TIOMOS hinge TS-Click-on</v>
      </c>
      <c r="K325" t="str">
        <f ca="1">"95°, G-BB, K03, "&amp;Sprache!A59&amp;", ni"</f>
        <v>95°, G-BB, K03, Dowel, ni</v>
      </c>
      <c r="L325" t="str">
        <f ca="1">Sprache!$A$63</f>
        <v>TIOMOS Click-on hinges</v>
      </c>
      <c r="M325">
        <v>3</v>
      </c>
      <c r="N325" t="s">
        <v>13</v>
      </c>
      <c r="O325">
        <v>95</v>
      </c>
      <c r="P325">
        <v>1</v>
      </c>
      <c r="Q325">
        <v>0</v>
      </c>
      <c r="R325">
        <v>0</v>
      </c>
      <c r="S325">
        <v>0</v>
      </c>
      <c r="T325">
        <v>1</v>
      </c>
      <c r="U325">
        <v>0</v>
      </c>
      <c r="V325" s="14" t="s">
        <v>335</v>
      </c>
    </row>
    <row r="326" spans="1:22" ht="14.25" customHeight="1" x14ac:dyDescent="0.25">
      <c r="A326" s="48" t="str">
        <f>LEFT(Tabelle1[[#This Row],[Artikel'#]],4)</f>
        <v>F028</v>
      </c>
      <c r="B326" s="46" t="str">
        <f>MID(Tabelle1[[#This Row],[Artikel'#]],5,3)</f>
        <v>138</v>
      </c>
      <c r="C326" s="48" t="str">
        <f>RIGHT(Tabelle1[[#This Row],[Artikel'#]],3)</f>
        <v>391</v>
      </c>
      <c r="D326" s="46">
        <f>IF(Tabelle1[[#This Row],[Winkel2]]=select!$A$2,1,0)</f>
        <v>0</v>
      </c>
      <c r="E3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26" s="46">
        <f>IF(select!$E$16=IF(Tabelle1[[#This Row],[mit Dämpfung]]=1,1,IF(Tabelle1[[#This Row],[ohne Dämpfung]]=1,2,IF(Tabelle1[[#This Row],[ohne Feder]]=1,3,0))),1,0)</f>
        <v>1</v>
      </c>
      <c r="G326" s="46">
        <f>IF(Tabelle1[[#This Row],[Links]]=select!$I$2,1,0)</f>
        <v>0</v>
      </c>
      <c r="H326" s="46">
        <f>IF(IF(Tabelle1[[#This Row],[Anschrauben]]=1,1,IF(Tabelle1[[#This Row],[Einpressen]]=1,2,IF(Tabelle1[[#This Row],[Werkzeuglos]]=1,3,0)))=select!$E$7,1,0)</f>
        <v>1</v>
      </c>
      <c r="I326" s="46">
        <f ca="1">IF(Tabelle1[[#This Row],[Winkel]]+Tabelle1[[#This Row],[Kröpfung]]+Tabelle1[[#This Row],[Däpfung]]+Tabelle1[[#This Row],[Bohrbild]]+Tabelle1[[#This Row],[Scharnierbefestigung]]=5,1,0)</f>
        <v>0</v>
      </c>
      <c r="J326" t="str">
        <f ca="1">Sprache!$A$55</f>
        <v>TIOMOS hinge TS-Click-on</v>
      </c>
      <c r="K326" t="str">
        <f ca="1">"95°, G-BB, K95, "&amp;Sprache!A59&amp;", ni"</f>
        <v>95°, G-BB, K95, Dowel, ni</v>
      </c>
      <c r="L326" t="str">
        <f ca="1">Sprache!$A$63</f>
        <v>TIOMOS Click-on hinges</v>
      </c>
      <c r="M326">
        <v>9.5</v>
      </c>
      <c r="N326" t="s">
        <v>13</v>
      </c>
      <c r="O326">
        <v>95</v>
      </c>
      <c r="P326">
        <v>1</v>
      </c>
      <c r="Q326">
        <v>0</v>
      </c>
      <c r="R326">
        <v>0</v>
      </c>
      <c r="S326">
        <v>0</v>
      </c>
      <c r="T326">
        <v>1</v>
      </c>
      <c r="U326">
        <v>0</v>
      </c>
      <c r="V326" s="14" t="s">
        <v>336</v>
      </c>
    </row>
    <row r="327" spans="1:22" ht="14.25" customHeight="1" x14ac:dyDescent="0.25">
      <c r="A327" s="48" t="str">
        <f>LEFT(Tabelle1[[#This Row],[Artikel'#]],4)</f>
        <v>F028</v>
      </c>
      <c r="B327" s="46" t="str">
        <f>MID(Tabelle1[[#This Row],[Artikel'#]],5,3)</f>
        <v>138</v>
      </c>
      <c r="C327" s="48" t="str">
        <f>RIGHT(Tabelle1[[#This Row],[Artikel'#]],3)</f>
        <v>392</v>
      </c>
      <c r="D327" s="46">
        <f>IF(Tabelle1[[#This Row],[Winkel2]]=select!$A$2,1,0)</f>
        <v>0</v>
      </c>
      <c r="E3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7" s="46">
        <f>IF(select!$E$16=IF(Tabelle1[[#This Row],[mit Dämpfung]]=1,1,IF(Tabelle1[[#This Row],[ohne Dämpfung]]=1,2,IF(Tabelle1[[#This Row],[ohne Feder]]=1,3,0))),1,0)</f>
        <v>1</v>
      </c>
      <c r="G327" s="46">
        <f>IF(Tabelle1[[#This Row],[Links]]=select!$I$2,1,0)</f>
        <v>0</v>
      </c>
      <c r="H327" s="46">
        <f>IF(IF(Tabelle1[[#This Row],[Anschrauben]]=1,1,IF(Tabelle1[[#This Row],[Einpressen]]=1,2,IF(Tabelle1[[#This Row],[Werkzeuglos]]=1,3,0)))=select!$E$7,1,0)</f>
        <v>1</v>
      </c>
      <c r="I327" s="46">
        <f ca="1">IF(Tabelle1[[#This Row],[Winkel]]+Tabelle1[[#This Row],[Kröpfung]]+Tabelle1[[#This Row],[Däpfung]]+Tabelle1[[#This Row],[Bohrbild]]+Tabelle1[[#This Row],[Scharnierbefestigung]]=5,1,0)</f>
        <v>0</v>
      </c>
      <c r="J327" t="str">
        <f ca="1">Sprache!$A$55</f>
        <v>TIOMOS hinge TS-Click-on</v>
      </c>
      <c r="K327" t="str">
        <f ca="1">"95°, G-BB, K19, "&amp;Sprache!A59&amp;", ni"</f>
        <v>95°, G-BB, K19, Dowel, ni</v>
      </c>
      <c r="L327" t="str">
        <f ca="1">Sprache!$A$63</f>
        <v>TIOMOS Click-on hinges</v>
      </c>
      <c r="M327">
        <v>19</v>
      </c>
      <c r="N327" t="s">
        <v>13</v>
      </c>
      <c r="O327">
        <v>95</v>
      </c>
      <c r="P327">
        <v>1</v>
      </c>
      <c r="Q327">
        <v>0</v>
      </c>
      <c r="R327">
        <v>0</v>
      </c>
      <c r="S327">
        <v>0</v>
      </c>
      <c r="T327">
        <v>1</v>
      </c>
      <c r="U327">
        <v>0</v>
      </c>
      <c r="V327" s="14" t="s">
        <v>337</v>
      </c>
    </row>
    <row r="328" spans="1:22" ht="14.25" customHeight="1" x14ac:dyDescent="0.25">
      <c r="A328" s="48" t="str">
        <f>LEFT(Tabelle1[[#This Row],[Artikel'#]],4)</f>
        <v>F028</v>
      </c>
      <c r="B328" s="46" t="str">
        <f>MID(Tabelle1[[#This Row],[Artikel'#]],5,3)</f>
        <v>138</v>
      </c>
      <c r="C328" s="48" t="str">
        <f>RIGHT(Tabelle1[[#This Row],[Artikel'#]],3)</f>
        <v>519</v>
      </c>
      <c r="D328" s="46">
        <f>IF(Tabelle1[[#This Row],[Winkel2]]=select!$A$2,1,0)</f>
        <v>1</v>
      </c>
      <c r="E3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8" s="46">
        <f>IF(select!$E$16=IF(Tabelle1[[#This Row],[mit Dämpfung]]=1,1,IF(Tabelle1[[#This Row],[ohne Dämpfung]]=1,2,IF(Tabelle1[[#This Row],[ohne Feder]]=1,3,0))),1,0)</f>
        <v>1</v>
      </c>
      <c r="G328" s="46">
        <f>IF(Tabelle1[[#This Row],[Links]]=select!$I$2,1,0)</f>
        <v>1</v>
      </c>
      <c r="H328" s="46">
        <f>IF(IF(Tabelle1[[#This Row],[Anschrauben]]=1,1,IF(Tabelle1[[#This Row],[Einpressen]]=1,2,IF(Tabelle1[[#This Row],[Werkzeuglos]]=1,3,0)))=select!$E$7,1,0)</f>
        <v>0</v>
      </c>
      <c r="I328" s="46">
        <f ca="1">IF(Tabelle1[[#This Row],[Winkel]]+Tabelle1[[#This Row],[Kröpfung]]+Tabelle1[[#This Row],[Däpfung]]+Tabelle1[[#This Row],[Bohrbild]]+Tabelle1[[#This Row],[Scharnierbefestigung]]=5,1,0)</f>
        <v>0</v>
      </c>
      <c r="J328" t="str">
        <f ca="1">Sprache!$A$55</f>
        <v>TIOMOS hinge TS-Click-on</v>
      </c>
      <c r="K328" t="s">
        <v>338</v>
      </c>
      <c r="L328" t="str">
        <f ca="1">Sprache!$A$63</f>
        <v>TIOMOS Click-on hinges</v>
      </c>
      <c r="M328">
        <v>0</v>
      </c>
      <c r="N328" t="s">
        <v>3</v>
      </c>
      <c r="O328">
        <v>110</v>
      </c>
      <c r="P328">
        <v>1</v>
      </c>
      <c r="Q328">
        <v>0</v>
      </c>
      <c r="R328">
        <v>0</v>
      </c>
      <c r="S328">
        <v>1</v>
      </c>
      <c r="T328">
        <v>0</v>
      </c>
      <c r="U328">
        <v>0</v>
      </c>
      <c r="V328" s="14" t="s">
        <v>43</v>
      </c>
    </row>
    <row r="329" spans="1:22" ht="14.25" customHeight="1" x14ac:dyDescent="0.25">
      <c r="A329" s="48" t="str">
        <f>LEFT(Tabelle1[[#This Row],[Artikel'#]],4)</f>
        <v>F028</v>
      </c>
      <c r="B329" s="46" t="str">
        <f>MID(Tabelle1[[#This Row],[Artikel'#]],5,3)</f>
        <v>138</v>
      </c>
      <c r="C329" s="48" t="str">
        <f>RIGHT(Tabelle1[[#This Row],[Artikel'#]],3)</f>
        <v>520</v>
      </c>
      <c r="D329" s="46">
        <f>IF(Tabelle1[[#This Row],[Winkel2]]=select!$A$2,1,0)</f>
        <v>1</v>
      </c>
      <c r="E3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29" s="46">
        <f>IF(select!$E$16=IF(Tabelle1[[#This Row],[mit Dämpfung]]=1,1,IF(Tabelle1[[#This Row],[ohne Dämpfung]]=1,2,IF(Tabelle1[[#This Row],[ohne Feder]]=1,3,0))),1,0)</f>
        <v>1</v>
      </c>
      <c r="G329" s="46">
        <f>IF(Tabelle1[[#This Row],[Links]]=select!$I$2,1,0)</f>
        <v>1</v>
      </c>
      <c r="H329" s="46">
        <f>IF(IF(Tabelle1[[#This Row],[Anschrauben]]=1,1,IF(Tabelle1[[#This Row],[Einpressen]]=1,2,IF(Tabelle1[[#This Row],[Werkzeuglos]]=1,3,0)))=select!$E$7,1,0)</f>
        <v>0</v>
      </c>
      <c r="I329" s="46">
        <f ca="1">IF(Tabelle1[[#This Row],[Winkel]]+Tabelle1[[#This Row],[Kröpfung]]+Tabelle1[[#This Row],[Däpfung]]+Tabelle1[[#This Row],[Bohrbild]]+Tabelle1[[#This Row],[Scharnierbefestigung]]=5,1,0)</f>
        <v>0</v>
      </c>
      <c r="J329" t="str">
        <f ca="1">Sprache!$A$55</f>
        <v>TIOMOS hinge TS-Click-on</v>
      </c>
      <c r="K329" t="s">
        <v>340</v>
      </c>
      <c r="L329" t="str">
        <f ca="1">Sprache!$A$63</f>
        <v>TIOMOS Click-on hinges</v>
      </c>
      <c r="M329">
        <v>3</v>
      </c>
      <c r="N329" t="s">
        <v>3</v>
      </c>
      <c r="O329">
        <v>110</v>
      </c>
      <c r="P329">
        <v>1</v>
      </c>
      <c r="Q329">
        <v>0</v>
      </c>
      <c r="R329">
        <v>0</v>
      </c>
      <c r="S329">
        <v>1</v>
      </c>
      <c r="T329">
        <v>0</v>
      </c>
      <c r="U329">
        <v>0</v>
      </c>
      <c r="V329" s="14" t="s">
        <v>339</v>
      </c>
    </row>
    <row r="330" spans="1:22" ht="14.25" customHeight="1" x14ac:dyDescent="0.25">
      <c r="A330" s="48" t="str">
        <f>LEFT(Tabelle1[[#This Row],[Artikel'#]],4)</f>
        <v>F028</v>
      </c>
      <c r="B330" s="46" t="str">
        <f>MID(Tabelle1[[#This Row],[Artikel'#]],5,3)</f>
        <v>138</v>
      </c>
      <c r="C330" s="48" t="str">
        <f>RIGHT(Tabelle1[[#This Row],[Artikel'#]],3)</f>
        <v>521</v>
      </c>
      <c r="D330" s="46">
        <f>IF(Tabelle1[[#This Row],[Winkel2]]=select!$A$2,1,0)</f>
        <v>1</v>
      </c>
      <c r="E3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30" s="46">
        <f>IF(select!$E$16=IF(Tabelle1[[#This Row],[mit Dämpfung]]=1,1,IF(Tabelle1[[#This Row],[ohne Dämpfung]]=1,2,IF(Tabelle1[[#This Row],[ohne Feder]]=1,3,0))),1,0)</f>
        <v>1</v>
      </c>
      <c r="G330" s="46">
        <f>IF(Tabelle1[[#This Row],[Links]]=select!$I$2,1,0)</f>
        <v>1</v>
      </c>
      <c r="H330" s="46">
        <f>IF(IF(Tabelle1[[#This Row],[Anschrauben]]=1,1,IF(Tabelle1[[#This Row],[Einpressen]]=1,2,IF(Tabelle1[[#This Row],[Werkzeuglos]]=1,3,0)))=select!$E$7,1,0)</f>
        <v>0</v>
      </c>
      <c r="I330" s="46">
        <f ca="1">IF(Tabelle1[[#This Row],[Winkel]]+Tabelle1[[#This Row],[Kröpfung]]+Tabelle1[[#This Row],[Däpfung]]+Tabelle1[[#This Row],[Bohrbild]]+Tabelle1[[#This Row],[Scharnierbefestigung]]=5,1,0)</f>
        <v>0</v>
      </c>
      <c r="J330" t="str">
        <f ca="1">Sprache!$A$55</f>
        <v>TIOMOS hinge TS-Click-on</v>
      </c>
      <c r="K330" t="s">
        <v>342</v>
      </c>
      <c r="L330" t="str">
        <f ca="1">Sprache!$A$63</f>
        <v>TIOMOS Click-on hinges</v>
      </c>
      <c r="M330">
        <v>9.5</v>
      </c>
      <c r="N330" t="s">
        <v>3</v>
      </c>
      <c r="O330">
        <v>110</v>
      </c>
      <c r="P330">
        <v>1</v>
      </c>
      <c r="Q330">
        <v>0</v>
      </c>
      <c r="R330">
        <v>0</v>
      </c>
      <c r="S330">
        <v>1</v>
      </c>
      <c r="T330">
        <v>0</v>
      </c>
      <c r="U330">
        <v>0</v>
      </c>
      <c r="V330" s="14" t="s">
        <v>341</v>
      </c>
    </row>
    <row r="331" spans="1:22" ht="14.25" customHeight="1" x14ac:dyDescent="0.25">
      <c r="A331" s="48" t="str">
        <f>LEFT(Tabelle1[[#This Row],[Artikel'#]],4)</f>
        <v>F028</v>
      </c>
      <c r="B331" s="46" t="str">
        <f>MID(Tabelle1[[#This Row],[Artikel'#]],5,3)</f>
        <v>138</v>
      </c>
      <c r="C331" s="48" t="str">
        <f>RIGHT(Tabelle1[[#This Row],[Artikel'#]],3)</f>
        <v>522</v>
      </c>
      <c r="D331" s="46">
        <f>IF(Tabelle1[[#This Row],[Winkel2]]=select!$A$2,1,0)</f>
        <v>1</v>
      </c>
      <c r="E3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1" s="46">
        <f>IF(select!$E$16=IF(Tabelle1[[#This Row],[mit Dämpfung]]=1,1,IF(Tabelle1[[#This Row],[ohne Dämpfung]]=1,2,IF(Tabelle1[[#This Row],[ohne Feder]]=1,3,0))),1,0)</f>
        <v>1</v>
      </c>
      <c r="G331" s="46">
        <f>IF(Tabelle1[[#This Row],[Links]]=select!$I$2,1,0)</f>
        <v>1</v>
      </c>
      <c r="H331" s="46">
        <f>IF(IF(Tabelle1[[#This Row],[Anschrauben]]=1,1,IF(Tabelle1[[#This Row],[Einpressen]]=1,2,IF(Tabelle1[[#This Row],[Werkzeuglos]]=1,3,0)))=select!$E$7,1,0)</f>
        <v>0</v>
      </c>
      <c r="I331" s="46">
        <f ca="1">IF(Tabelle1[[#This Row],[Winkel]]+Tabelle1[[#This Row],[Kröpfung]]+Tabelle1[[#This Row],[Däpfung]]+Tabelle1[[#This Row],[Bohrbild]]+Tabelle1[[#This Row],[Scharnierbefestigung]]=5,1,0)</f>
        <v>0</v>
      </c>
      <c r="J331" t="str">
        <f ca="1">Sprache!$A$55</f>
        <v>TIOMOS hinge TS-Click-on</v>
      </c>
      <c r="K331" t="s">
        <v>344</v>
      </c>
      <c r="L331" t="str">
        <f ca="1">Sprache!$A$63</f>
        <v>TIOMOS Click-on hinges</v>
      </c>
      <c r="M331">
        <v>19</v>
      </c>
      <c r="N331" t="s">
        <v>3</v>
      </c>
      <c r="O331">
        <v>110</v>
      </c>
      <c r="P331">
        <v>1</v>
      </c>
      <c r="Q331">
        <v>0</v>
      </c>
      <c r="R331">
        <v>0</v>
      </c>
      <c r="S331">
        <v>1</v>
      </c>
      <c r="T331">
        <v>0</v>
      </c>
      <c r="U331">
        <v>0</v>
      </c>
      <c r="V331" s="14" t="s">
        <v>343</v>
      </c>
    </row>
    <row r="332" spans="1:22" ht="14.25" customHeight="1" x14ac:dyDescent="0.25">
      <c r="A332" s="48" t="str">
        <f>LEFT(Tabelle1[[#This Row],[Artikel'#]],4)</f>
        <v>F028</v>
      </c>
      <c r="B332" s="46" t="str">
        <f>MID(Tabelle1[[#This Row],[Artikel'#]],5,3)</f>
        <v>138</v>
      </c>
      <c r="C332" s="48" t="str">
        <f>RIGHT(Tabelle1[[#This Row],[Artikel'#]],3)</f>
        <v>523</v>
      </c>
      <c r="D332" s="46">
        <f>IF(Tabelle1[[#This Row],[Winkel2]]=select!$A$2,1,0)</f>
        <v>1</v>
      </c>
      <c r="E3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2" s="46">
        <f>IF(select!$E$16=IF(Tabelle1[[#This Row],[mit Dämpfung]]=1,1,IF(Tabelle1[[#This Row],[ohne Dämpfung]]=1,2,IF(Tabelle1[[#This Row],[ohne Feder]]=1,3,0))),1,0)</f>
        <v>1</v>
      </c>
      <c r="G332" s="46">
        <f>IF(Tabelle1[[#This Row],[Links]]=select!$I$2,1,0)</f>
        <v>1</v>
      </c>
      <c r="H332" s="46">
        <f>IF(IF(Tabelle1[[#This Row],[Anschrauben]]=1,1,IF(Tabelle1[[#This Row],[Einpressen]]=1,2,IF(Tabelle1[[#This Row],[Werkzeuglos]]=1,3,0)))=select!$E$7,1,0)</f>
        <v>1</v>
      </c>
      <c r="I332" s="46">
        <f ca="1">IF(Tabelle1[[#This Row],[Winkel]]+Tabelle1[[#This Row],[Kröpfung]]+Tabelle1[[#This Row],[Däpfung]]+Tabelle1[[#This Row],[Bohrbild]]+Tabelle1[[#This Row],[Scharnierbefestigung]]=5,1,0)</f>
        <v>0</v>
      </c>
      <c r="J332" t="str">
        <f ca="1">Sprache!$A$55</f>
        <v>TIOMOS hinge TS-Click-on</v>
      </c>
      <c r="K332" t="str">
        <f ca="1">"110°, B-BB, K00, "&amp;Sprache!A59&amp;", ni"</f>
        <v>110°, B-BB, K00, Dowel, ni</v>
      </c>
      <c r="L332" t="str">
        <f ca="1">Sprache!$A$63</f>
        <v>TIOMOS Click-on hinges</v>
      </c>
      <c r="M332">
        <v>0</v>
      </c>
      <c r="N332" t="s">
        <v>3</v>
      </c>
      <c r="O332">
        <v>110</v>
      </c>
      <c r="P332">
        <v>1</v>
      </c>
      <c r="Q332">
        <v>0</v>
      </c>
      <c r="R332">
        <v>0</v>
      </c>
      <c r="S332">
        <v>0</v>
      </c>
      <c r="T332">
        <v>1</v>
      </c>
      <c r="U332">
        <v>0</v>
      </c>
      <c r="V332" s="14" t="s">
        <v>44</v>
      </c>
    </row>
    <row r="333" spans="1:22" ht="14.25" customHeight="1" x14ac:dyDescent="0.25">
      <c r="A333" s="48" t="str">
        <f>LEFT(Tabelle1[[#This Row],[Artikel'#]],4)</f>
        <v>F028</v>
      </c>
      <c r="B333" s="46" t="str">
        <f>MID(Tabelle1[[#This Row],[Artikel'#]],5,3)</f>
        <v>138</v>
      </c>
      <c r="C333" s="48" t="str">
        <f>RIGHT(Tabelle1[[#This Row],[Artikel'#]],3)</f>
        <v>524</v>
      </c>
      <c r="D333" s="46">
        <f>IF(Tabelle1[[#This Row],[Winkel2]]=select!$A$2,1,0)</f>
        <v>1</v>
      </c>
      <c r="E3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3" s="46">
        <f>IF(select!$E$16=IF(Tabelle1[[#This Row],[mit Dämpfung]]=1,1,IF(Tabelle1[[#This Row],[ohne Dämpfung]]=1,2,IF(Tabelle1[[#This Row],[ohne Feder]]=1,3,0))),1,0)</f>
        <v>1</v>
      </c>
      <c r="G333" s="46">
        <f>IF(Tabelle1[[#This Row],[Links]]=select!$I$2,1,0)</f>
        <v>1</v>
      </c>
      <c r="H333" s="46">
        <f>IF(IF(Tabelle1[[#This Row],[Anschrauben]]=1,1,IF(Tabelle1[[#This Row],[Einpressen]]=1,2,IF(Tabelle1[[#This Row],[Werkzeuglos]]=1,3,0)))=select!$E$7,1,0)</f>
        <v>1</v>
      </c>
      <c r="I333" s="46">
        <f ca="1">IF(Tabelle1[[#This Row],[Winkel]]+Tabelle1[[#This Row],[Kröpfung]]+Tabelle1[[#This Row],[Däpfung]]+Tabelle1[[#This Row],[Bohrbild]]+Tabelle1[[#This Row],[Scharnierbefestigung]]=5,1,0)</f>
        <v>0</v>
      </c>
      <c r="J333" t="str">
        <f ca="1">Sprache!$A$55</f>
        <v>TIOMOS hinge TS-Click-on</v>
      </c>
      <c r="K333" t="str">
        <f ca="1">"110°, B-BB, K03, "&amp;Sprache!A59&amp;", ni"</f>
        <v>110°, B-BB, K03, Dowel, ni</v>
      </c>
      <c r="L333" t="str">
        <f ca="1">Sprache!$A$63</f>
        <v>TIOMOS Click-on hinges</v>
      </c>
      <c r="M333">
        <v>3</v>
      </c>
      <c r="N333" t="s">
        <v>3</v>
      </c>
      <c r="O333">
        <v>110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 s="14" t="s">
        <v>345</v>
      </c>
    </row>
    <row r="334" spans="1:22" ht="14.25" customHeight="1" x14ac:dyDescent="0.25">
      <c r="A334" s="48" t="str">
        <f>LEFT(Tabelle1[[#This Row],[Artikel'#]],4)</f>
        <v>F028</v>
      </c>
      <c r="B334" s="46" t="str">
        <f>MID(Tabelle1[[#This Row],[Artikel'#]],5,3)</f>
        <v>138</v>
      </c>
      <c r="C334" s="48" t="str">
        <f>RIGHT(Tabelle1[[#This Row],[Artikel'#]],3)</f>
        <v>525</v>
      </c>
      <c r="D334" s="46">
        <f>IF(Tabelle1[[#This Row],[Winkel2]]=select!$A$2,1,0)</f>
        <v>1</v>
      </c>
      <c r="E3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34" s="46">
        <f>IF(select!$E$16=IF(Tabelle1[[#This Row],[mit Dämpfung]]=1,1,IF(Tabelle1[[#This Row],[ohne Dämpfung]]=1,2,IF(Tabelle1[[#This Row],[ohne Feder]]=1,3,0))),1,0)</f>
        <v>1</v>
      </c>
      <c r="G334" s="46">
        <f>IF(Tabelle1[[#This Row],[Links]]=select!$I$2,1,0)</f>
        <v>1</v>
      </c>
      <c r="H334" s="46">
        <f>IF(IF(Tabelle1[[#This Row],[Anschrauben]]=1,1,IF(Tabelle1[[#This Row],[Einpressen]]=1,2,IF(Tabelle1[[#This Row],[Werkzeuglos]]=1,3,0)))=select!$E$7,1,0)</f>
        <v>1</v>
      </c>
      <c r="I334" s="46">
        <f ca="1">IF(Tabelle1[[#This Row],[Winkel]]+Tabelle1[[#This Row],[Kröpfung]]+Tabelle1[[#This Row],[Däpfung]]+Tabelle1[[#This Row],[Bohrbild]]+Tabelle1[[#This Row],[Scharnierbefestigung]]=5,1,0)</f>
        <v>1</v>
      </c>
      <c r="J334" t="str">
        <f ca="1">Sprache!$A$55</f>
        <v>TIOMOS hinge TS-Click-on</v>
      </c>
      <c r="K334" t="str">
        <f ca="1">"110°, B-BB, K95, "&amp;Sprache!A59&amp;", ni"</f>
        <v>110°, B-BB, K95, Dowel, ni</v>
      </c>
      <c r="L334" t="str">
        <f ca="1">Sprache!$A$63</f>
        <v>TIOMOS Click-on hinges</v>
      </c>
      <c r="M334">
        <v>9.5</v>
      </c>
      <c r="N334" t="s">
        <v>3</v>
      </c>
      <c r="O334">
        <v>110</v>
      </c>
      <c r="P334">
        <v>1</v>
      </c>
      <c r="Q334">
        <v>0</v>
      </c>
      <c r="R334">
        <v>0</v>
      </c>
      <c r="S334">
        <v>0</v>
      </c>
      <c r="T334">
        <v>1</v>
      </c>
      <c r="U334">
        <v>0</v>
      </c>
      <c r="V334" s="14" t="s">
        <v>346</v>
      </c>
    </row>
    <row r="335" spans="1:22" ht="14.25" customHeight="1" x14ac:dyDescent="0.25">
      <c r="A335" s="48" t="str">
        <f>LEFT(Tabelle1[[#This Row],[Artikel'#]],4)</f>
        <v>F028</v>
      </c>
      <c r="B335" s="46" t="str">
        <f>MID(Tabelle1[[#This Row],[Artikel'#]],5,3)</f>
        <v>138</v>
      </c>
      <c r="C335" s="48" t="str">
        <f>RIGHT(Tabelle1[[#This Row],[Artikel'#]],3)</f>
        <v>526</v>
      </c>
      <c r="D335" s="46">
        <f>IF(Tabelle1[[#This Row],[Winkel2]]=select!$A$2,1,0)</f>
        <v>1</v>
      </c>
      <c r="E3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5" s="46">
        <f>IF(select!$E$16=IF(Tabelle1[[#This Row],[mit Dämpfung]]=1,1,IF(Tabelle1[[#This Row],[ohne Dämpfung]]=1,2,IF(Tabelle1[[#This Row],[ohne Feder]]=1,3,0))),1,0)</f>
        <v>1</v>
      </c>
      <c r="G335" s="46">
        <f>IF(Tabelle1[[#This Row],[Links]]=select!$I$2,1,0)</f>
        <v>1</v>
      </c>
      <c r="H335" s="46">
        <f>IF(IF(Tabelle1[[#This Row],[Anschrauben]]=1,1,IF(Tabelle1[[#This Row],[Einpressen]]=1,2,IF(Tabelle1[[#This Row],[Werkzeuglos]]=1,3,0)))=select!$E$7,1,0)</f>
        <v>1</v>
      </c>
      <c r="I335" s="46">
        <f ca="1">IF(Tabelle1[[#This Row],[Winkel]]+Tabelle1[[#This Row],[Kröpfung]]+Tabelle1[[#This Row],[Däpfung]]+Tabelle1[[#This Row],[Bohrbild]]+Tabelle1[[#This Row],[Scharnierbefestigung]]=5,1,0)</f>
        <v>0</v>
      </c>
      <c r="J335" t="str">
        <f ca="1">Sprache!$A$55</f>
        <v>TIOMOS hinge TS-Click-on</v>
      </c>
      <c r="K335" t="str">
        <f ca="1">"110°, B-BB, K19, "&amp;Sprache!A59&amp;", ni"</f>
        <v>110°, B-BB, K19, Dowel, ni</v>
      </c>
      <c r="L335" t="str">
        <f ca="1">Sprache!$A$63</f>
        <v>TIOMOS Click-on hinges</v>
      </c>
      <c r="M335">
        <v>19</v>
      </c>
      <c r="N335" t="s">
        <v>3</v>
      </c>
      <c r="O335">
        <v>110</v>
      </c>
      <c r="P335">
        <v>1</v>
      </c>
      <c r="Q335">
        <v>0</v>
      </c>
      <c r="R335">
        <v>0</v>
      </c>
      <c r="S335">
        <v>0</v>
      </c>
      <c r="T335">
        <v>1</v>
      </c>
      <c r="U335">
        <v>0</v>
      </c>
      <c r="V335" s="14" t="s">
        <v>347</v>
      </c>
    </row>
    <row r="336" spans="1:22" ht="14.25" customHeight="1" x14ac:dyDescent="0.25">
      <c r="A336" s="48" t="str">
        <f>LEFT(Tabelle1[[#This Row],[Artikel'#]],4)</f>
        <v>F028</v>
      </c>
      <c r="B336" s="46" t="str">
        <f>MID(Tabelle1[[#This Row],[Artikel'#]],5,3)</f>
        <v>138</v>
      </c>
      <c r="C336" s="48" t="str">
        <f>RIGHT(Tabelle1[[#This Row],[Artikel'#]],3)</f>
        <v>547</v>
      </c>
      <c r="D336" s="46">
        <f>IF(Tabelle1[[#This Row],[Winkel2]]=select!$A$2,1,0)</f>
        <v>0</v>
      </c>
      <c r="E3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6" s="46">
        <f>IF(select!$E$16=IF(Tabelle1[[#This Row],[mit Dämpfung]]=1,1,IF(Tabelle1[[#This Row],[ohne Dämpfung]]=1,2,IF(Tabelle1[[#This Row],[ohne Feder]]=1,3,0))),1,0)</f>
        <v>1</v>
      </c>
      <c r="G336" s="46">
        <f>IF(Tabelle1[[#This Row],[Links]]=select!$I$2,1,0)</f>
        <v>1</v>
      </c>
      <c r="H336" s="46">
        <f>IF(IF(Tabelle1[[#This Row],[Anschrauben]]=1,1,IF(Tabelle1[[#This Row],[Einpressen]]=1,2,IF(Tabelle1[[#This Row],[Werkzeuglos]]=1,3,0)))=select!$E$7,1,0)</f>
        <v>0</v>
      </c>
      <c r="I336" s="46">
        <f ca="1">IF(Tabelle1[[#This Row],[Winkel]]+Tabelle1[[#This Row],[Kröpfung]]+Tabelle1[[#This Row],[Däpfung]]+Tabelle1[[#This Row],[Bohrbild]]+Tabelle1[[#This Row],[Scharnierbefestigung]]=5,1,0)</f>
        <v>0</v>
      </c>
      <c r="J336" t="str">
        <f ca="1">Sprache!$A$55</f>
        <v>TIOMOS hinge TS-Click-on</v>
      </c>
      <c r="K336" t="s">
        <v>349</v>
      </c>
      <c r="L336" t="str">
        <f ca="1">Sprache!$A$63</f>
        <v>TIOMOS Click-on hinges</v>
      </c>
      <c r="M336">
        <v>0</v>
      </c>
      <c r="N336" t="s">
        <v>3</v>
      </c>
      <c r="O336">
        <v>120</v>
      </c>
      <c r="P336">
        <v>1</v>
      </c>
      <c r="Q336">
        <v>0</v>
      </c>
      <c r="R336">
        <v>0</v>
      </c>
      <c r="S336">
        <v>1</v>
      </c>
      <c r="T336">
        <v>0</v>
      </c>
      <c r="U336">
        <v>0</v>
      </c>
      <c r="V336" s="14" t="s">
        <v>348</v>
      </c>
    </row>
    <row r="337" spans="1:22" ht="14.25" customHeight="1" x14ac:dyDescent="0.25">
      <c r="A337" s="48" t="str">
        <f>LEFT(Tabelle1[[#This Row],[Artikel'#]],4)</f>
        <v>F028</v>
      </c>
      <c r="B337" s="46" t="str">
        <f>MID(Tabelle1[[#This Row],[Artikel'#]],5,3)</f>
        <v>138</v>
      </c>
      <c r="C337" s="48" t="str">
        <f>RIGHT(Tabelle1[[#This Row],[Artikel'#]],3)</f>
        <v>548</v>
      </c>
      <c r="D337" s="46">
        <f>IF(Tabelle1[[#This Row],[Winkel2]]=select!$A$2,1,0)</f>
        <v>0</v>
      </c>
      <c r="E3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7" s="46">
        <f>IF(select!$E$16=IF(Tabelle1[[#This Row],[mit Dämpfung]]=1,1,IF(Tabelle1[[#This Row],[ohne Dämpfung]]=1,2,IF(Tabelle1[[#This Row],[ohne Feder]]=1,3,0))),1,0)</f>
        <v>1</v>
      </c>
      <c r="G337" s="46">
        <f>IF(Tabelle1[[#This Row],[Links]]=select!$I$2,1,0)</f>
        <v>1</v>
      </c>
      <c r="H337" s="46">
        <f>IF(IF(Tabelle1[[#This Row],[Anschrauben]]=1,1,IF(Tabelle1[[#This Row],[Einpressen]]=1,2,IF(Tabelle1[[#This Row],[Werkzeuglos]]=1,3,0)))=select!$E$7,1,0)</f>
        <v>0</v>
      </c>
      <c r="I337" s="46">
        <f ca="1">IF(Tabelle1[[#This Row],[Winkel]]+Tabelle1[[#This Row],[Kröpfung]]+Tabelle1[[#This Row],[Däpfung]]+Tabelle1[[#This Row],[Bohrbild]]+Tabelle1[[#This Row],[Scharnierbefestigung]]=5,1,0)</f>
        <v>0</v>
      </c>
      <c r="J337" t="str">
        <f ca="1">Sprache!$A$55</f>
        <v>TIOMOS hinge TS-Click-on</v>
      </c>
      <c r="K337" t="s">
        <v>351</v>
      </c>
      <c r="L337" t="str">
        <f ca="1">Sprache!$A$63</f>
        <v>TIOMOS Click-on hinges</v>
      </c>
      <c r="M337">
        <v>3</v>
      </c>
      <c r="N337" t="s">
        <v>3</v>
      </c>
      <c r="O337">
        <v>120</v>
      </c>
      <c r="P337">
        <v>1</v>
      </c>
      <c r="Q337">
        <v>0</v>
      </c>
      <c r="R337">
        <v>0</v>
      </c>
      <c r="S337">
        <v>1</v>
      </c>
      <c r="T337">
        <v>0</v>
      </c>
      <c r="U337">
        <v>0</v>
      </c>
      <c r="V337" s="14" t="s">
        <v>350</v>
      </c>
    </row>
    <row r="338" spans="1:22" ht="14.25" customHeight="1" x14ac:dyDescent="0.25">
      <c r="A338" s="48" t="str">
        <f>LEFT(Tabelle1[[#This Row],[Artikel'#]],4)</f>
        <v>F028</v>
      </c>
      <c r="B338" s="46" t="str">
        <f>MID(Tabelle1[[#This Row],[Artikel'#]],5,3)</f>
        <v>138</v>
      </c>
      <c r="C338" s="48" t="str">
        <f>RIGHT(Tabelle1[[#This Row],[Artikel'#]],3)</f>
        <v>549</v>
      </c>
      <c r="D338" s="46">
        <f>IF(Tabelle1[[#This Row],[Winkel2]]=select!$A$2,1,0)</f>
        <v>0</v>
      </c>
      <c r="E3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38" s="46">
        <f>IF(select!$E$16=IF(Tabelle1[[#This Row],[mit Dämpfung]]=1,1,IF(Tabelle1[[#This Row],[ohne Dämpfung]]=1,2,IF(Tabelle1[[#This Row],[ohne Feder]]=1,3,0))),1,0)</f>
        <v>1</v>
      </c>
      <c r="G338" s="46">
        <f>IF(Tabelle1[[#This Row],[Links]]=select!$I$2,1,0)</f>
        <v>1</v>
      </c>
      <c r="H338" s="46">
        <f>IF(IF(Tabelle1[[#This Row],[Anschrauben]]=1,1,IF(Tabelle1[[#This Row],[Einpressen]]=1,2,IF(Tabelle1[[#This Row],[Werkzeuglos]]=1,3,0)))=select!$E$7,1,0)</f>
        <v>0</v>
      </c>
      <c r="I338" s="46">
        <f ca="1">IF(Tabelle1[[#This Row],[Winkel]]+Tabelle1[[#This Row],[Kröpfung]]+Tabelle1[[#This Row],[Däpfung]]+Tabelle1[[#This Row],[Bohrbild]]+Tabelle1[[#This Row],[Scharnierbefestigung]]=5,1,0)</f>
        <v>0</v>
      </c>
      <c r="J338" t="str">
        <f ca="1">Sprache!$A$55</f>
        <v>TIOMOS hinge TS-Click-on</v>
      </c>
      <c r="K338" t="s">
        <v>353</v>
      </c>
      <c r="L338" t="str">
        <f ca="1">Sprache!$A$63</f>
        <v>TIOMOS Click-on hinges</v>
      </c>
      <c r="M338">
        <v>9.5</v>
      </c>
      <c r="N338" t="s">
        <v>3</v>
      </c>
      <c r="O338">
        <v>120</v>
      </c>
      <c r="P338">
        <v>1</v>
      </c>
      <c r="Q338">
        <v>0</v>
      </c>
      <c r="R338">
        <v>0</v>
      </c>
      <c r="S338">
        <v>1</v>
      </c>
      <c r="T338">
        <v>0</v>
      </c>
      <c r="U338">
        <v>0</v>
      </c>
      <c r="V338" s="14" t="s">
        <v>352</v>
      </c>
    </row>
    <row r="339" spans="1:22" ht="14.25" customHeight="1" x14ac:dyDescent="0.25">
      <c r="A339" s="48" t="str">
        <f>LEFT(Tabelle1[[#This Row],[Artikel'#]],4)</f>
        <v>F028</v>
      </c>
      <c r="B339" s="46" t="str">
        <f>MID(Tabelle1[[#This Row],[Artikel'#]],5,3)</f>
        <v>138</v>
      </c>
      <c r="C339" s="48" t="str">
        <f>RIGHT(Tabelle1[[#This Row],[Artikel'#]],3)</f>
        <v>550</v>
      </c>
      <c r="D339" s="46">
        <f>IF(Tabelle1[[#This Row],[Winkel2]]=select!$A$2,1,0)</f>
        <v>0</v>
      </c>
      <c r="E3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39" s="46">
        <f>IF(select!$E$16=IF(Tabelle1[[#This Row],[mit Dämpfung]]=1,1,IF(Tabelle1[[#This Row],[ohne Dämpfung]]=1,2,IF(Tabelle1[[#This Row],[ohne Feder]]=1,3,0))),1,0)</f>
        <v>1</v>
      </c>
      <c r="G339" s="46">
        <f>IF(Tabelle1[[#This Row],[Links]]=select!$I$2,1,0)</f>
        <v>1</v>
      </c>
      <c r="H339" s="46">
        <f>IF(IF(Tabelle1[[#This Row],[Anschrauben]]=1,1,IF(Tabelle1[[#This Row],[Einpressen]]=1,2,IF(Tabelle1[[#This Row],[Werkzeuglos]]=1,3,0)))=select!$E$7,1,0)</f>
        <v>0</v>
      </c>
      <c r="I339" s="46">
        <f ca="1">IF(Tabelle1[[#This Row],[Winkel]]+Tabelle1[[#This Row],[Kröpfung]]+Tabelle1[[#This Row],[Däpfung]]+Tabelle1[[#This Row],[Bohrbild]]+Tabelle1[[#This Row],[Scharnierbefestigung]]=5,1,0)</f>
        <v>0</v>
      </c>
      <c r="J339" t="str">
        <f ca="1">Sprache!$A$55</f>
        <v>TIOMOS hinge TS-Click-on</v>
      </c>
      <c r="K339" t="s">
        <v>355</v>
      </c>
      <c r="L339" t="str">
        <f ca="1">Sprache!$A$63</f>
        <v>TIOMOS Click-on hinges</v>
      </c>
      <c r="M339">
        <v>19</v>
      </c>
      <c r="N339" t="s">
        <v>3</v>
      </c>
      <c r="O339">
        <v>120</v>
      </c>
      <c r="P339">
        <v>1</v>
      </c>
      <c r="Q339">
        <v>0</v>
      </c>
      <c r="R339">
        <v>0</v>
      </c>
      <c r="S339">
        <v>1</v>
      </c>
      <c r="T339">
        <v>0</v>
      </c>
      <c r="U339">
        <v>0</v>
      </c>
      <c r="V339" s="14" t="s">
        <v>354</v>
      </c>
    </row>
    <row r="340" spans="1:22" ht="14.25" customHeight="1" x14ac:dyDescent="0.25">
      <c r="A340" s="48" t="str">
        <f>LEFT(Tabelle1[[#This Row],[Artikel'#]],4)</f>
        <v>F028</v>
      </c>
      <c r="B340" s="46" t="str">
        <f>MID(Tabelle1[[#This Row],[Artikel'#]],5,3)</f>
        <v>138</v>
      </c>
      <c r="C340" s="48" t="str">
        <f>RIGHT(Tabelle1[[#This Row],[Artikel'#]],3)</f>
        <v>551</v>
      </c>
      <c r="D340" s="46">
        <f>IF(Tabelle1[[#This Row],[Winkel2]]=select!$A$2,1,0)</f>
        <v>0</v>
      </c>
      <c r="E3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0" s="46">
        <f>IF(select!$E$16=IF(Tabelle1[[#This Row],[mit Dämpfung]]=1,1,IF(Tabelle1[[#This Row],[ohne Dämpfung]]=1,2,IF(Tabelle1[[#This Row],[ohne Feder]]=1,3,0))),1,0)</f>
        <v>1</v>
      </c>
      <c r="G340" s="46">
        <f>IF(Tabelle1[[#This Row],[Links]]=select!$I$2,1,0)</f>
        <v>1</v>
      </c>
      <c r="H340" s="46">
        <f>IF(IF(Tabelle1[[#This Row],[Anschrauben]]=1,1,IF(Tabelle1[[#This Row],[Einpressen]]=1,2,IF(Tabelle1[[#This Row],[Werkzeuglos]]=1,3,0)))=select!$E$7,1,0)</f>
        <v>1</v>
      </c>
      <c r="I340" s="46">
        <f ca="1">IF(Tabelle1[[#This Row],[Winkel]]+Tabelle1[[#This Row],[Kröpfung]]+Tabelle1[[#This Row],[Däpfung]]+Tabelle1[[#This Row],[Bohrbild]]+Tabelle1[[#This Row],[Scharnierbefestigung]]=5,1,0)</f>
        <v>0</v>
      </c>
      <c r="J340" t="str">
        <f ca="1">Sprache!$A$55</f>
        <v>TIOMOS hinge TS-Click-on</v>
      </c>
      <c r="K340" t="str">
        <f ca="1">"120°, B-BB, K00, "&amp;Sprache!A59&amp;", ni"</f>
        <v>120°, B-BB, K00, Dowel, ni</v>
      </c>
      <c r="L340" t="str">
        <f ca="1">Sprache!$A$63</f>
        <v>TIOMOS Click-on hinges</v>
      </c>
      <c r="M340">
        <v>0</v>
      </c>
      <c r="N340" t="s">
        <v>3</v>
      </c>
      <c r="O340">
        <v>120</v>
      </c>
      <c r="P340">
        <v>1</v>
      </c>
      <c r="Q340">
        <v>0</v>
      </c>
      <c r="R340">
        <v>0</v>
      </c>
      <c r="S340">
        <v>0</v>
      </c>
      <c r="T340">
        <v>1</v>
      </c>
      <c r="U340">
        <v>0</v>
      </c>
      <c r="V340" s="14" t="s">
        <v>356</v>
      </c>
    </row>
    <row r="341" spans="1:22" ht="14.25" customHeight="1" x14ac:dyDescent="0.25">
      <c r="A341" s="48" t="str">
        <f>LEFT(Tabelle1[[#This Row],[Artikel'#]],4)</f>
        <v>F028</v>
      </c>
      <c r="B341" s="46" t="str">
        <f>MID(Tabelle1[[#This Row],[Artikel'#]],5,3)</f>
        <v>138</v>
      </c>
      <c r="C341" s="48" t="str">
        <f>RIGHT(Tabelle1[[#This Row],[Artikel'#]],3)</f>
        <v>552</v>
      </c>
      <c r="D341" s="46">
        <f>IF(Tabelle1[[#This Row],[Winkel2]]=select!$A$2,1,0)</f>
        <v>0</v>
      </c>
      <c r="E3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1" s="46">
        <f>IF(select!$E$16=IF(Tabelle1[[#This Row],[mit Dämpfung]]=1,1,IF(Tabelle1[[#This Row],[ohne Dämpfung]]=1,2,IF(Tabelle1[[#This Row],[ohne Feder]]=1,3,0))),1,0)</f>
        <v>1</v>
      </c>
      <c r="G341" s="46">
        <f>IF(Tabelle1[[#This Row],[Links]]=select!$I$2,1,0)</f>
        <v>1</v>
      </c>
      <c r="H341" s="46">
        <f>IF(IF(Tabelle1[[#This Row],[Anschrauben]]=1,1,IF(Tabelle1[[#This Row],[Einpressen]]=1,2,IF(Tabelle1[[#This Row],[Werkzeuglos]]=1,3,0)))=select!$E$7,1,0)</f>
        <v>1</v>
      </c>
      <c r="I341" s="46">
        <f ca="1">IF(Tabelle1[[#This Row],[Winkel]]+Tabelle1[[#This Row],[Kröpfung]]+Tabelle1[[#This Row],[Däpfung]]+Tabelle1[[#This Row],[Bohrbild]]+Tabelle1[[#This Row],[Scharnierbefestigung]]=5,1,0)</f>
        <v>0</v>
      </c>
      <c r="J341" t="str">
        <f ca="1">Sprache!$A$55</f>
        <v>TIOMOS hinge TS-Click-on</v>
      </c>
      <c r="K341" t="str">
        <f ca="1">"120°, B-BB, K03, "&amp;Sprache!A59&amp;", ni"</f>
        <v>120°, B-BB, K03, Dowel, ni</v>
      </c>
      <c r="L341" t="str">
        <f ca="1">Sprache!$A$63</f>
        <v>TIOMOS Click-on hinges</v>
      </c>
      <c r="M341">
        <v>3</v>
      </c>
      <c r="N341" t="s">
        <v>3</v>
      </c>
      <c r="O341">
        <v>120</v>
      </c>
      <c r="P341">
        <v>1</v>
      </c>
      <c r="Q341">
        <v>0</v>
      </c>
      <c r="R341">
        <v>0</v>
      </c>
      <c r="S341">
        <v>0</v>
      </c>
      <c r="T341">
        <v>1</v>
      </c>
      <c r="U341">
        <v>0</v>
      </c>
      <c r="V341" s="14" t="s">
        <v>357</v>
      </c>
    </row>
    <row r="342" spans="1:22" ht="14.25" customHeight="1" x14ac:dyDescent="0.25">
      <c r="A342" s="48" t="str">
        <f>LEFT(Tabelle1[[#This Row],[Artikel'#]],4)</f>
        <v>F028</v>
      </c>
      <c r="B342" s="46" t="str">
        <f>MID(Tabelle1[[#This Row],[Artikel'#]],5,3)</f>
        <v>138</v>
      </c>
      <c r="C342" s="48" t="str">
        <f>RIGHT(Tabelle1[[#This Row],[Artikel'#]],3)</f>
        <v>553</v>
      </c>
      <c r="D342" s="46">
        <f>IF(Tabelle1[[#This Row],[Winkel2]]=select!$A$2,1,0)</f>
        <v>0</v>
      </c>
      <c r="E3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42" s="46">
        <f>IF(select!$E$16=IF(Tabelle1[[#This Row],[mit Dämpfung]]=1,1,IF(Tabelle1[[#This Row],[ohne Dämpfung]]=1,2,IF(Tabelle1[[#This Row],[ohne Feder]]=1,3,0))),1,0)</f>
        <v>1</v>
      </c>
      <c r="G342" s="46">
        <f>IF(Tabelle1[[#This Row],[Links]]=select!$I$2,1,0)</f>
        <v>1</v>
      </c>
      <c r="H342" s="46">
        <f>IF(IF(Tabelle1[[#This Row],[Anschrauben]]=1,1,IF(Tabelle1[[#This Row],[Einpressen]]=1,2,IF(Tabelle1[[#This Row],[Werkzeuglos]]=1,3,0)))=select!$E$7,1,0)</f>
        <v>1</v>
      </c>
      <c r="I342" s="46">
        <f ca="1">IF(Tabelle1[[#This Row],[Winkel]]+Tabelle1[[#This Row],[Kröpfung]]+Tabelle1[[#This Row],[Däpfung]]+Tabelle1[[#This Row],[Bohrbild]]+Tabelle1[[#This Row],[Scharnierbefestigung]]=5,1,0)</f>
        <v>0</v>
      </c>
      <c r="J342" t="str">
        <f ca="1">Sprache!$A$55</f>
        <v>TIOMOS hinge TS-Click-on</v>
      </c>
      <c r="K342" t="str">
        <f ca="1">"120°, B-BB, K95, "&amp;Sprache!A59&amp;", ni"</f>
        <v>120°, B-BB, K95, Dowel, ni</v>
      </c>
      <c r="L342" t="str">
        <f ca="1">Sprache!$A$63</f>
        <v>TIOMOS Click-on hinges</v>
      </c>
      <c r="M342">
        <v>9.5</v>
      </c>
      <c r="N342" t="s">
        <v>3</v>
      </c>
      <c r="O342">
        <v>120</v>
      </c>
      <c r="P342">
        <v>1</v>
      </c>
      <c r="Q342">
        <v>0</v>
      </c>
      <c r="R342">
        <v>0</v>
      </c>
      <c r="S342">
        <v>0</v>
      </c>
      <c r="T342">
        <v>1</v>
      </c>
      <c r="U342">
        <v>0</v>
      </c>
      <c r="V342" s="14" t="s">
        <v>358</v>
      </c>
    </row>
    <row r="343" spans="1:22" ht="14.25" customHeight="1" x14ac:dyDescent="0.25">
      <c r="A343" s="48" t="str">
        <f>LEFT(Tabelle1[[#This Row],[Artikel'#]],4)</f>
        <v>F028</v>
      </c>
      <c r="B343" s="46" t="str">
        <f>MID(Tabelle1[[#This Row],[Artikel'#]],5,3)</f>
        <v>138</v>
      </c>
      <c r="C343" s="48" t="str">
        <f>RIGHT(Tabelle1[[#This Row],[Artikel'#]],3)</f>
        <v>554</v>
      </c>
      <c r="D343" s="46">
        <f>IF(Tabelle1[[#This Row],[Winkel2]]=select!$A$2,1,0)</f>
        <v>0</v>
      </c>
      <c r="E3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3" s="46">
        <f>IF(select!$E$16=IF(Tabelle1[[#This Row],[mit Dämpfung]]=1,1,IF(Tabelle1[[#This Row],[ohne Dämpfung]]=1,2,IF(Tabelle1[[#This Row],[ohne Feder]]=1,3,0))),1,0)</f>
        <v>1</v>
      </c>
      <c r="G343" s="46">
        <f>IF(Tabelle1[[#This Row],[Links]]=select!$I$2,1,0)</f>
        <v>1</v>
      </c>
      <c r="H343" s="46">
        <f>IF(IF(Tabelle1[[#This Row],[Anschrauben]]=1,1,IF(Tabelle1[[#This Row],[Einpressen]]=1,2,IF(Tabelle1[[#This Row],[Werkzeuglos]]=1,3,0)))=select!$E$7,1,0)</f>
        <v>1</v>
      </c>
      <c r="I343" s="46">
        <f ca="1">IF(Tabelle1[[#This Row],[Winkel]]+Tabelle1[[#This Row],[Kröpfung]]+Tabelle1[[#This Row],[Däpfung]]+Tabelle1[[#This Row],[Bohrbild]]+Tabelle1[[#This Row],[Scharnierbefestigung]]=5,1,0)</f>
        <v>0</v>
      </c>
      <c r="J343" t="str">
        <f ca="1">Sprache!$A$55</f>
        <v>TIOMOS hinge TS-Click-on</v>
      </c>
      <c r="K343" t="str">
        <f ca="1">"120°, B-BB, K19, "&amp;Sprache!A59&amp;", ni"</f>
        <v>120°, B-BB, K19, Dowel, ni</v>
      </c>
      <c r="L343" t="str">
        <f ca="1">Sprache!$A$63</f>
        <v>TIOMOS Click-on hinges</v>
      </c>
      <c r="M343">
        <v>19</v>
      </c>
      <c r="N343" t="s">
        <v>3</v>
      </c>
      <c r="O343">
        <v>120</v>
      </c>
      <c r="P343">
        <v>1</v>
      </c>
      <c r="Q343">
        <v>0</v>
      </c>
      <c r="R343">
        <v>0</v>
      </c>
      <c r="S343">
        <v>0</v>
      </c>
      <c r="T343">
        <v>1</v>
      </c>
      <c r="U343">
        <v>0</v>
      </c>
      <c r="V343" s="14" t="s">
        <v>359</v>
      </c>
    </row>
    <row r="344" spans="1:22" ht="14.25" customHeight="1" x14ac:dyDescent="0.25">
      <c r="A344" s="48" t="str">
        <f>LEFT(Tabelle1[[#This Row],[Artikel'#]],4)</f>
        <v>F028</v>
      </c>
      <c r="B344" s="46" t="str">
        <f>MID(Tabelle1[[#This Row],[Artikel'#]],5,3)</f>
        <v>138</v>
      </c>
      <c r="C344" s="48" t="str">
        <f>RIGHT(Tabelle1[[#This Row],[Artikel'#]],3)</f>
        <v>561</v>
      </c>
      <c r="D344" s="46">
        <f>IF(Tabelle1[[#This Row],[Winkel2]]=select!$A$2,1,0)</f>
        <v>0</v>
      </c>
      <c r="E3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4" s="46">
        <f>IF(select!$E$16=IF(Tabelle1[[#This Row],[mit Dämpfung]]=1,1,IF(Tabelle1[[#This Row],[ohne Dämpfung]]=1,2,IF(Tabelle1[[#This Row],[ohne Feder]]=1,3,0))),1,0)</f>
        <v>1</v>
      </c>
      <c r="G344" s="46">
        <f>IF(Tabelle1[[#This Row],[Links]]=select!$I$2,1,0)</f>
        <v>1</v>
      </c>
      <c r="H344" s="46">
        <f>IF(IF(Tabelle1[[#This Row],[Anschrauben]]=1,1,IF(Tabelle1[[#This Row],[Einpressen]]=1,2,IF(Tabelle1[[#This Row],[Werkzeuglos]]=1,3,0)))=select!$E$7,1,0)</f>
        <v>0</v>
      </c>
      <c r="I344" s="46">
        <f ca="1">IF(Tabelle1[[#This Row],[Winkel]]+Tabelle1[[#This Row],[Kröpfung]]+Tabelle1[[#This Row],[Däpfung]]+Tabelle1[[#This Row],[Bohrbild]]+Tabelle1[[#This Row],[Scharnierbefestigung]]=5,1,0)</f>
        <v>0</v>
      </c>
      <c r="J344" t="str">
        <f ca="1">Sprache!$A$55</f>
        <v>TIOMOS hinge TS-Click-on</v>
      </c>
      <c r="K344" t="s">
        <v>361</v>
      </c>
      <c r="L344" t="str">
        <f ca="1">Sprache!$A$63</f>
        <v>TIOMOS Click-on hinges</v>
      </c>
      <c r="M344">
        <v>0</v>
      </c>
      <c r="N344" s="13" t="s">
        <v>3</v>
      </c>
      <c r="O344">
        <v>160</v>
      </c>
      <c r="P344">
        <v>1</v>
      </c>
      <c r="Q344">
        <v>0</v>
      </c>
      <c r="R344">
        <v>0</v>
      </c>
      <c r="S344">
        <v>1</v>
      </c>
      <c r="T344">
        <v>0</v>
      </c>
      <c r="U344">
        <v>0</v>
      </c>
      <c r="V344" s="14" t="s">
        <v>360</v>
      </c>
    </row>
    <row r="345" spans="1:22" ht="14.25" customHeight="1" x14ac:dyDescent="0.25">
      <c r="A345" s="48" t="str">
        <f>LEFT(Tabelle1[[#This Row],[Artikel'#]],4)</f>
        <v>F028</v>
      </c>
      <c r="B345" s="46" t="str">
        <f>MID(Tabelle1[[#This Row],[Artikel'#]],5,3)</f>
        <v>138</v>
      </c>
      <c r="C345" s="48" t="str">
        <f>RIGHT(Tabelle1[[#This Row],[Artikel'#]],3)</f>
        <v>562</v>
      </c>
      <c r="D345" s="46">
        <f>IF(Tabelle1[[#This Row],[Winkel2]]=select!$A$2,1,0)</f>
        <v>0</v>
      </c>
      <c r="E3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5" s="46">
        <f>IF(select!$E$16=IF(Tabelle1[[#This Row],[mit Dämpfung]]=1,1,IF(Tabelle1[[#This Row],[ohne Dämpfung]]=1,2,IF(Tabelle1[[#This Row],[ohne Feder]]=1,3,0))),1,0)</f>
        <v>1</v>
      </c>
      <c r="G345" s="46">
        <f>IF(Tabelle1[[#This Row],[Links]]=select!$I$2,1,0)</f>
        <v>1</v>
      </c>
      <c r="H345" s="46">
        <f>IF(IF(Tabelle1[[#This Row],[Anschrauben]]=1,1,IF(Tabelle1[[#This Row],[Einpressen]]=1,2,IF(Tabelle1[[#This Row],[Werkzeuglos]]=1,3,0)))=select!$E$7,1,0)</f>
        <v>0</v>
      </c>
      <c r="I345" s="46">
        <f ca="1">IF(Tabelle1[[#This Row],[Winkel]]+Tabelle1[[#This Row],[Kröpfung]]+Tabelle1[[#This Row],[Däpfung]]+Tabelle1[[#This Row],[Bohrbild]]+Tabelle1[[#This Row],[Scharnierbefestigung]]=5,1,0)</f>
        <v>0</v>
      </c>
      <c r="J345" t="str">
        <f ca="1">Sprache!$A$55</f>
        <v>TIOMOS hinge TS-Click-on</v>
      </c>
      <c r="K345" t="s">
        <v>363</v>
      </c>
      <c r="L345" t="str">
        <f ca="1">Sprache!$A$63</f>
        <v>TIOMOS Click-on hinges</v>
      </c>
      <c r="M345">
        <v>3</v>
      </c>
      <c r="N345" t="s">
        <v>3</v>
      </c>
      <c r="O345">
        <v>160</v>
      </c>
      <c r="P345">
        <v>1</v>
      </c>
      <c r="Q345">
        <v>0</v>
      </c>
      <c r="R345">
        <v>0</v>
      </c>
      <c r="S345">
        <v>1</v>
      </c>
      <c r="T345">
        <v>0</v>
      </c>
      <c r="U345">
        <v>0</v>
      </c>
      <c r="V345" s="14" t="s">
        <v>362</v>
      </c>
    </row>
    <row r="346" spans="1:22" ht="14.25" customHeight="1" x14ac:dyDescent="0.25">
      <c r="A346" s="48" t="str">
        <f>LEFT(Tabelle1[[#This Row],[Artikel'#]],4)</f>
        <v>F028</v>
      </c>
      <c r="B346" s="46" t="str">
        <f>MID(Tabelle1[[#This Row],[Artikel'#]],5,3)</f>
        <v>138</v>
      </c>
      <c r="C346" s="48" t="str">
        <f>RIGHT(Tabelle1[[#This Row],[Artikel'#]],3)</f>
        <v>563</v>
      </c>
      <c r="D346" s="46">
        <f>IF(Tabelle1[[#This Row],[Winkel2]]=select!$A$2,1,0)</f>
        <v>0</v>
      </c>
      <c r="E3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46" s="46">
        <f>IF(select!$E$16=IF(Tabelle1[[#This Row],[mit Dämpfung]]=1,1,IF(Tabelle1[[#This Row],[ohne Dämpfung]]=1,2,IF(Tabelle1[[#This Row],[ohne Feder]]=1,3,0))),1,0)</f>
        <v>1</v>
      </c>
      <c r="G346" s="46">
        <f>IF(Tabelle1[[#This Row],[Links]]=select!$I$2,1,0)</f>
        <v>1</v>
      </c>
      <c r="H346" s="46">
        <f>IF(IF(Tabelle1[[#This Row],[Anschrauben]]=1,1,IF(Tabelle1[[#This Row],[Einpressen]]=1,2,IF(Tabelle1[[#This Row],[Werkzeuglos]]=1,3,0)))=select!$E$7,1,0)</f>
        <v>0</v>
      </c>
      <c r="I346" s="46">
        <f ca="1">IF(Tabelle1[[#This Row],[Winkel]]+Tabelle1[[#This Row],[Kröpfung]]+Tabelle1[[#This Row],[Däpfung]]+Tabelle1[[#This Row],[Bohrbild]]+Tabelle1[[#This Row],[Scharnierbefestigung]]=5,1,0)</f>
        <v>0</v>
      </c>
      <c r="J346" t="str">
        <f ca="1">Sprache!$A$55</f>
        <v>TIOMOS hinge TS-Click-on</v>
      </c>
      <c r="K346" t="s">
        <v>365</v>
      </c>
      <c r="L346" t="str">
        <f ca="1">Sprache!$A$63</f>
        <v>TIOMOS Click-on hinges</v>
      </c>
      <c r="M346">
        <v>9.5</v>
      </c>
      <c r="N346" t="s">
        <v>3</v>
      </c>
      <c r="O346">
        <v>160</v>
      </c>
      <c r="P346">
        <v>1</v>
      </c>
      <c r="Q346">
        <v>0</v>
      </c>
      <c r="R346">
        <v>0</v>
      </c>
      <c r="S346">
        <v>1</v>
      </c>
      <c r="T346">
        <v>0</v>
      </c>
      <c r="U346">
        <v>0</v>
      </c>
      <c r="V346" s="14" t="s">
        <v>364</v>
      </c>
    </row>
    <row r="347" spans="1:22" ht="14.25" customHeight="1" x14ac:dyDescent="0.25">
      <c r="A347" s="48" t="str">
        <f>LEFT(Tabelle1[[#This Row],[Artikel'#]],4)</f>
        <v>F028</v>
      </c>
      <c r="B347" s="46" t="str">
        <f>MID(Tabelle1[[#This Row],[Artikel'#]],5,3)</f>
        <v>138</v>
      </c>
      <c r="C347" s="48" t="str">
        <f>RIGHT(Tabelle1[[#This Row],[Artikel'#]],3)</f>
        <v>564</v>
      </c>
      <c r="D347" s="46">
        <f>IF(Tabelle1[[#This Row],[Winkel2]]=select!$A$2,1,0)</f>
        <v>0</v>
      </c>
      <c r="E3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7" s="46">
        <f>IF(select!$E$16=IF(Tabelle1[[#This Row],[mit Dämpfung]]=1,1,IF(Tabelle1[[#This Row],[ohne Dämpfung]]=1,2,IF(Tabelle1[[#This Row],[ohne Feder]]=1,3,0))),1,0)</f>
        <v>1</v>
      </c>
      <c r="G347" s="46">
        <f>IF(Tabelle1[[#This Row],[Links]]=select!$I$2,1,0)</f>
        <v>1</v>
      </c>
      <c r="H347" s="46">
        <f>IF(IF(Tabelle1[[#This Row],[Anschrauben]]=1,1,IF(Tabelle1[[#This Row],[Einpressen]]=1,2,IF(Tabelle1[[#This Row],[Werkzeuglos]]=1,3,0)))=select!$E$7,1,0)</f>
        <v>1</v>
      </c>
      <c r="I347" s="46">
        <f ca="1">IF(Tabelle1[[#This Row],[Winkel]]+Tabelle1[[#This Row],[Kröpfung]]+Tabelle1[[#This Row],[Däpfung]]+Tabelle1[[#This Row],[Bohrbild]]+Tabelle1[[#This Row],[Scharnierbefestigung]]=5,1,0)</f>
        <v>0</v>
      </c>
      <c r="J347" t="str">
        <f ca="1">Sprache!$A$55</f>
        <v>TIOMOS hinge TS-Click-on</v>
      </c>
      <c r="K347" t="str">
        <f ca="1">"160°, B-BB, K00, "&amp;Sprache!A59&amp;", ni"</f>
        <v>160°, B-BB, K00, Dowel, ni</v>
      </c>
      <c r="L347" t="str">
        <f ca="1">Sprache!$A$63</f>
        <v>TIOMOS Click-on hinges</v>
      </c>
      <c r="M347">
        <v>0</v>
      </c>
      <c r="N347" s="13" t="s">
        <v>3</v>
      </c>
      <c r="O347">
        <v>160</v>
      </c>
      <c r="P347">
        <v>1</v>
      </c>
      <c r="Q347">
        <v>0</v>
      </c>
      <c r="R347">
        <v>0</v>
      </c>
      <c r="S347">
        <v>0</v>
      </c>
      <c r="T347">
        <v>1</v>
      </c>
      <c r="U347">
        <v>0</v>
      </c>
      <c r="V347" s="14" t="s">
        <v>366</v>
      </c>
    </row>
    <row r="348" spans="1:22" ht="14.25" customHeight="1" x14ac:dyDescent="0.25">
      <c r="A348" s="48" t="str">
        <f>LEFT(Tabelle1[[#This Row],[Artikel'#]],4)</f>
        <v>F028</v>
      </c>
      <c r="B348" s="46" t="str">
        <f>MID(Tabelle1[[#This Row],[Artikel'#]],5,3)</f>
        <v>138</v>
      </c>
      <c r="C348" s="48" t="str">
        <f>RIGHT(Tabelle1[[#This Row],[Artikel'#]],3)</f>
        <v>565</v>
      </c>
      <c r="D348" s="46">
        <f>IF(Tabelle1[[#This Row],[Winkel2]]=select!$A$2,1,0)</f>
        <v>0</v>
      </c>
      <c r="E3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48" s="46">
        <f>IF(select!$E$16=IF(Tabelle1[[#This Row],[mit Dämpfung]]=1,1,IF(Tabelle1[[#This Row],[ohne Dämpfung]]=1,2,IF(Tabelle1[[#This Row],[ohne Feder]]=1,3,0))),1,0)</f>
        <v>1</v>
      </c>
      <c r="G348" s="46">
        <f>IF(Tabelle1[[#This Row],[Links]]=select!$I$2,1,0)</f>
        <v>1</v>
      </c>
      <c r="H348" s="46">
        <f>IF(IF(Tabelle1[[#This Row],[Anschrauben]]=1,1,IF(Tabelle1[[#This Row],[Einpressen]]=1,2,IF(Tabelle1[[#This Row],[Werkzeuglos]]=1,3,0)))=select!$E$7,1,0)</f>
        <v>1</v>
      </c>
      <c r="I348" s="46">
        <f ca="1">IF(Tabelle1[[#This Row],[Winkel]]+Tabelle1[[#This Row],[Kröpfung]]+Tabelle1[[#This Row],[Däpfung]]+Tabelle1[[#This Row],[Bohrbild]]+Tabelle1[[#This Row],[Scharnierbefestigung]]=5,1,0)</f>
        <v>0</v>
      </c>
      <c r="J348" t="str">
        <f ca="1">Sprache!$A$55</f>
        <v>TIOMOS hinge TS-Click-on</v>
      </c>
      <c r="K348" t="str">
        <f ca="1">"160°, B-BB, K03, "&amp;Sprache!A59&amp;", ni"</f>
        <v>160°, B-BB, K03, Dowel, ni</v>
      </c>
      <c r="L348" t="str">
        <f ca="1">Sprache!$A$63</f>
        <v>TIOMOS Click-on hinges</v>
      </c>
      <c r="M348">
        <v>3</v>
      </c>
      <c r="N348" t="s">
        <v>3</v>
      </c>
      <c r="O348">
        <v>160</v>
      </c>
      <c r="P348">
        <v>1</v>
      </c>
      <c r="Q348">
        <v>0</v>
      </c>
      <c r="R348">
        <v>0</v>
      </c>
      <c r="S348">
        <v>0</v>
      </c>
      <c r="T348">
        <v>1</v>
      </c>
      <c r="U348">
        <v>0</v>
      </c>
      <c r="V348" s="14" t="s">
        <v>367</v>
      </c>
    </row>
    <row r="349" spans="1:22" ht="14.25" customHeight="1" x14ac:dyDescent="0.25">
      <c r="A349" s="48" t="str">
        <f>LEFT(Tabelle1[[#This Row],[Artikel'#]],4)</f>
        <v>F028</v>
      </c>
      <c r="B349" s="46" t="str">
        <f>MID(Tabelle1[[#This Row],[Artikel'#]],5,3)</f>
        <v>138</v>
      </c>
      <c r="C349" s="48" t="str">
        <f>RIGHT(Tabelle1[[#This Row],[Artikel'#]],3)</f>
        <v>566</v>
      </c>
      <c r="D349" s="46">
        <f>IF(Tabelle1[[#This Row],[Winkel2]]=select!$A$2,1,0)</f>
        <v>0</v>
      </c>
      <c r="E3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49" s="46">
        <f>IF(select!$E$16=IF(Tabelle1[[#This Row],[mit Dämpfung]]=1,1,IF(Tabelle1[[#This Row],[ohne Dämpfung]]=1,2,IF(Tabelle1[[#This Row],[ohne Feder]]=1,3,0))),1,0)</f>
        <v>1</v>
      </c>
      <c r="G349" s="46">
        <f>IF(Tabelle1[[#This Row],[Links]]=select!$I$2,1,0)</f>
        <v>1</v>
      </c>
      <c r="H349" s="46">
        <f>IF(IF(Tabelle1[[#This Row],[Anschrauben]]=1,1,IF(Tabelle1[[#This Row],[Einpressen]]=1,2,IF(Tabelle1[[#This Row],[Werkzeuglos]]=1,3,0)))=select!$E$7,1,0)</f>
        <v>1</v>
      </c>
      <c r="I349" s="46">
        <f ca="1">IF(Tabelle1[[#This Row],[Winkel]]+Tabelle1[[#This Row],[Kröpfung]]+Tabelle1[[#This Row],[Däpfung]]+Tabelle1[[#This Row],[Bohrbild]]+Tabelle1[[#This Row],[Scharnierbefestigung]]=5,1,0)</f>
        <v>0</v>
      </c>
      <c r="J349" t="str">
        <f ca="1">Sprache!$A$55</f>
        <v>TIOMOS hinge TS-Click-on</v>
      </c>
      <c r="K349" t="str">
        <f ca="1">"160°, B-BB, K95, "&amp;Sprache!A59&amp;", ni"</f>
        <v>160°, B-BB, K95, Dowel, ni</v>
      </c>
      <c r="L349" t="str">
        <f ca="1">Sprache!$A$63</f>
        <v>TIOMOS Click-on hinges</v>
      </c>
      <c r="M349">
        <v>9.5</v>
      </c>
      <c r="N349" t="s">
        <v>3</v>
      </c>
      <c r="O349">
        <v>160</v>
      </c>
      <c r="P349">
        <v>1</v>
      </c>
      <c r="Q349">
        <v>0</v>
      </c>
      <c r="R349">
        <v>0</v>
      </c>
      <c r="S349">
        <v>0</v>
      </c>
      <c r="T349">
        <v>1</v>
      </c>
      <c r="U349">
        <v>0</v>
      </c>
      <c r="V349" s="14" t="s">
        <v>368</v>
      </c>
    </row>
    <row r="350" spans="1:22" ht="14.25" customHeight="1" x14ac:dyDescent="0.25">
      <c r="A350" s="48" t="str">
        <f>LEFT(Tabelle1[[#This Row],[Artikel'#]],4)</f>
        <v>F028</v>
      </c>
      <c r="B350" s="46" t="str">
        <f>MID(Tabelle1[[#This Row],[Artikel'#]],5,3)</f>
        <v>138</v>
      </c>
      <c r="C350" s="48" t="str">
        <f>RIGHT(Tabelle1[[#This Row],[Artikel'#]],3)</f>
        <v>567</v>
      </c>
      <c r="D350" s="46">
        <f>IF(Tabelle1[[#This Row],[Winkel2]]=select!$A$2,1,0)</f>
        <v>0</v>
      </c>
      <c r="E3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0" s="46">
        <f>IF(select!$E$16=IF(Tabelle1[[#This Row],[mit Dämpfung]]=1,1,IF(Tabelle1[[#This Row],[ohne Dämpfung]]=1,2,IF(Tabelle1[[#This Row],[ohne Feder]]=1,3,0))),1,0)</f>
        <v>1</v>
      </c>
      <c r="G350" s="46">
        <f>IF(Tabelle1[[#This Row],[Links]]=select!$I$2,1,0)</f>
        <v>1</v>
      </c>
      <c r="H350" s="46">
        <f>IF(IF(Tabelle1[[#This Row],[Anschrauben]]=1,1,IF(Tabelle1[[#This Row],[Einpressen]]=1,2,IF(Tabelle1[[#This Row],[Werkzeuglos]]=1,3,0)))=select!$E$7,1,0)</f>
        <v>0</v>
      </c>
      <c r="I350" s="46">
        <f ca="1">IF(Tabelle1[[#This Row],[Winkel]]+Tabelle1[[#This Row],[Kröpfung]]+Tabelle1[[#This Row],[Däpfung]]+Tabelle1[[#This Row],[Bohrbild]]+Tabelle1[[#This Row],[Scharnierbefestigung]]=5,1,0)</f>
        <v>0</v>
      </c>
      <c r="J350" t="str">
        <f ca="1">Sprache!$A$55</f>
        <v>TIOMOS hinge TS-Click-on</v>
      </c>
      <c r="K350" t="s">
        <v>370</v>
      </c>
      <c r="L350" t="str">
        <f ca="1">Sprache!$A$63</f>
        <v>TIOMOS Click-on hinges</v>
      </c>
      <c r="M350">
        <v>0</v>
      </c>
      <c r="N350" t="s">
        <v>3</v>
      </c>
      <c r="O350">
        <v>95</v>
      </c>
      <c r="P350">
        <v>1</v>
      </c>
      <c r="Q350">
        <v>0</v>
      </c>
      <c r="R350">
        <v>0</v>
      </c>
      <c r="S350">
        <v>1</v>
      </c>
      <c r="T350">
        <v>0</v>
      </c>
      <c r="U350">
        <v>0</v>
      </c>
      <c r="V350" s="14" t="s">
        <v>369</v>
      </c>
    </row>
    <row r="351" spans="1:22" ht="14.25" customHeight="1" x14ac:dyDescent="0.25">
      <c r="A351" s="48" t="str">
        <f>LEFT(Tabelle1[[#This Row],[Artikel'#]],4)</f>
        <v>F028</v>
      </c>
      <c r="B351" s="46" t="str">
        <f>MID(Tabelle1[[#This Row],[Artikel'#]],5,3)</f>
        <v>138</v>
      </c>
      <c r="C351" s="48" t="str">
        <f>RIGHT(Tabelle1[[#This Row],[Artikel'#]],3)</f>
        <v>568</v>
      </c>
      <c r="D351" s="46">
        <f>IF(Tabelle1[[#This Row],[Winkel2]]=select!$A$2,1,0)</f>
        <v>0</v>
      </c>
      <c r="E3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1" s="46">
        <f>IF(select!$E$16=IF(Tabelle1[[#This Row],[mit Dämpfung]]=1,1,IF(Tabelle1[[#This Row],[ohne Dämpfung]]=1,2,IF(Tabelle1[[#This Row],[ohne Feder]]=1,3,0))),1,0)</f>
        <v>1</v>
      </c>
      <c r="G351" s="46">
        <f>IF(Tabelle1[[#This Row],[Links]]=select!$I$2,1,0)</f>
        <v>1</v>
      </c>
      <c r="H351" s="46">
        <f>IF(IF(Tabelle1[[#This Row],[Anschrauben]]=1,1,IF(Tabelle1[[#This Row],[Einpressen]]=1,2,IF(Tabelle1[[#This Row],[Werkzeuglos]]=1,3,0)))=select!$E$7,1,0)</f>
        <v>0</v>
      </c>
      <c r="I351" s="46">
        <f ca="1">IF(Tabelle1[[#This Row],[Winkel]]+Tabelle1[[#This Row],[Kröpfung]]+Tabelle1[[#This Row],[Däpfung]]+Tabelle1[[#This Row],[Bohrbild]]+Tabelle1[[#This Row],[Scharnierbefestigung]]=5,1,0)</f>
        <v>0</v>
      </c>
      <c r="J351" t="str">
        <f ca="1">Sprache!$A$55</f>
        <v>TIOMOS hinge TS-Click-on</v>
      </c>
      <c r="K351" t="s">
        <v>372</v>
      </c>
      <c r="L351" t="str">
        <f ca="1">Sprache!$A$63</f>
        <v>TIOMOS Click-on hinges</v>
      </c>
      <c r="M351">
        <v>3</v>
      </c>
      <c r="N351" t="s">
        <v>3</v>
      </c>
      <c r="O351">
        <v>95</v>
      </c>
      <c r="P351">
        <v>1</v>
      </c>
      <c r="Q351">
        <v>0</v>
      </c>
      <c r="R351">
        <v>0</v>
      </c>
      <c r="S351">
        <v>1</v>
      </c>
      <c r="T351">
        <v>0</v>
      </c>
      <c r="U351">
        <v>0</v>
      </c>
      <c r="V351" s="14" t="s">
        <v>371</v>
      </c>
    </row>
    <row r="352" spans="1:22" ht="14.25" customHeight="1" x14ac:dyDescent="0.25">
      <c r="A352" s="48" t="str">
        <f>LEFT(Tabelle1[[#This Row],[Artikel'#]],4)</f>
        <v>F028</v>
      </c>
      <c r="B352" s="46" t="str">
        <f>MID(Tabelle1[[#This Row],[Artikel'#]],5,3)</f>
        <v>138</v>
      </c>
      <c r="C352" s="48" t="str">
        <f>RIGHT(Tabelle1[[#This Row],[Artikel'#]],3)</f>
        <v>569</v>
      </c>
      <c r="D352" s="46">
        <f>IF(Tabelle1[[#This Row],[Winkel2]]=select!$A$2,1,0)</f>
        <v>0</v>
      </c>
      <c r="E3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52" s="46">
        <f>IF(select!$E$16=IF(Tabelle1[[#This Row],[mit Dämpfung]]=1,1,IF(Tabelle1[[#This Row],[ohne Dämpfung]]=1,2,IF(Tabelle1[[#This Row],[ohne Feder]]=1,3,0))),1,0)</f>
        <v>1</v>
      </c>
      <c r="G352" s="46">
        <f>IF(Tabelle1[[#This Row],[Links]]=select!$I$2,1,0)</f>
        <v>1</v>
      </c>
      <c r="H352" s="46">
        <f>IF(IF(Tabelle1[[#This Row],[Anschrauben]]=1,1,IF(Tabelle1[[#This Row],[Einpressen]]=1,2,IF(Tabelle1[[#This Row],[Werkzeuglos]]=1,3,0)))=select!$E$7,1,0)</f>
        <v>0</v>
      </c>
      <c r="I352" s="46">
        <f ca="1">IF(Tabelle1[[#This Row],[Winkel]]+Tabelle1[[#This Row],[Kröpfung]]+Tabelle1[[#This Row],[Däpfung]]+Tabelle1[[#This Row],[Bohrbild]]+Tabelle1[[#This Row],[Scharnierbefestigung]]=5,1,0)</f>
        <v>0</v>
      </c>
      <c r="J352" t="str">
        <f ca="1">Sprache!$A$55</f>
        <v>TIOMOS hinge TS-Click-on</v>
      </c>
      <c r="K352" t="s">
        <v>374</v>
      </c>
      <c r="L352" t="str">
        <f ca="1">Sprache!$A$63</f>
        <v>TIOMOS Click-on hinges</v>
      </c>
      <c r="M352">
        <v>9.5</v>
      </c>
      <c r="N352" t="s">
        <v>3</v>
      </c>
      <c r="O352">
        <v>95</v>
      </c>
      <c r="P352">
        <v>1</v>
      </c>
      <c r="Q352">
        <v>0</v>
      </c>
      <c r="R352">
        <v>0</v>
      </c>
      <c r="S352">
        <v>1</v>
      </c>
      <c r="T352">
        <v>0</v>
      </c>
      <c r="U352">
        <v>0</v>
      </c>
      <c r="V352" s="14" t="s">
        <v>373</v>
      </c>
    </row>
    <row r="353" spans="1:22" ht="14.25" customHeight="1" x14ac:dyDescent="0.25">
      <c r="A353" s="48" t="str">
        <f>LEFT(Tabelle1[[#This Row],[Artikel'#]],4)</f>
        <v>F028</v>
      </c>
      <c r="B353" s="46" t="str">
        <f>MID(Tabelle1[[#This Row],[Artikel'#]],5,3)</f>
        <v>138</v>
      </c>
      <c r="C353" s="48" t="str">
        <f>RIGHT(Tabelle1[[#This Row],[Artikel'#]],3)</f>
        <v>570</v>
      </c>
      <c r="D353" s="46">
        <f>IF(Tabelle1[[#This Row],[Winkel2]]=select!$A$2,1,0)</f>
        <v>0</v>
      </c>
      <c r="E3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3" s="46">
        <f>IF(select!$E$16=IF(Tabelle1[[#This Row],[mit Dämpfung]]=1,1,IF(Tabelle1[[#This Row],[ohne Dämpfung]]=1,2,IF(Tabelle1[[#This Row],[ohne Feder]]=1,3,0))),1,0)</f>
        <v>1</v>
      </c>
      <c r="G353" s="46">
        <f>IF(Tabelle1[[#This Row],[Links]]=select!$I$2,1,0)</f>
        <v>1</v>
      </c>
      <c r="H353" s="46">
        <f>IF(IF(Tabelle1[[#This Row],[Anschrauben]]=1,1,IF(Tabelle1[[#This Row],[Einpressen]]=1,2,IF(Tabelle1[[#This Row],[Werkzeuglos]]=1,3,0)))=select!$E$7,1,0)</f>
        <v>0</v>
      </c>
      <c r="I353" s="46">
        <f ca="1">IF(Tabelle1[[#This Row],[Winkel]]+Tabelle1[[#This Row],[Kröpfung]]+Tabelle1[[#This Row],[Däpfung]]+Tabelle1[[#This Row],[Bohrbild]]+Tabelle1[[#This Row],[Scharnierbefestigung]]=5,1,0)</f>
        <v>0</v>
      </c>
      <c r="J353" t="str">
        <f ca="1">Sprache!$A$55</f>
        <v>TIOMOS hinge TS-Click-on</v>
      </c>
      <c r="K353" t="s">
        <v>376</v>
      </c>
      <c r="L353" t="str">
        <f ca="1">Sprache!$A$63</f>
        <v>TIOMOS Click-on hinges</v>
      </c>
      <c r="M353">
        <v>19</v>
      </c>
      <c r="N353" t="s">
        <v>3</v>
      </c>
      <c r="O353">
        <v>95</v>
      </c>
      <c r="P353">
        <v>1</v>
      </c>
      <c r="Q353">
        <v>0</v>
      </c>
      <c r="R353">
        <v>0</v>
      </c>
      <c r="S353">
        <v>1</v>
      </c>
      <c r="T353">
        <v>0</v>
      </c>
      <c r="U353">
        <v>0</v>
      </c>
      <c r="V353" s="14" t="s">
        <v>375</v>
      </c>
    </row>
    <row r="354" spans="1:22" ht="14.25" customHeight="1" x14ac:dyDescent="0.25">
      <c r="A354" s="48" t="str">
        <f>LEFT(Tabelle1[[#This Row],[Artikel'#]],4)</f>
        <v>F028</v>
      </c>
      <c r="B354" s="46" t="str">
        <f>MID(Tabelle1[[#This Row],[Artikel'#]],5,3)</f>
        <v>138</v>
      </c>
      <c r="C354" s="48" t="str">
        <f>RIGHT(Tabelle1[[#This Row],[Artikel'#]],3)</f>
        <v>571</v>
      </c>
      <c r="D354" s="46">
        <f>IF(Tabelle1[[#This Row],[Winkel2]]=select!$A$2,1,0)</f>
        <v>0</v>
      </c>
      <c r="E3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4" s="46">
        <f>IF(select!$E$16=IF(Tabelle1[[#This Row],[mit Dämpfung]]=1,1,IF(Tabelle1[[#This Row],[ohne Dämpfung]]=1,2,IF(Tabelle1[[#This Row],[ohne Feder]]=1,3,0))),1,0)</f>
        <v>1</v>
      </c>
      <c r="G354" s="46">
        <f>IF(Tabelle1[[#This Row],[Links]]=select!$I$2,1,0)</f>
        <v>1</v>
      </c>
      <c r="H354" s="46">
        <f>IF(IF(Tabelle1[[#This Row],[Anschrauben]]=1,1,IF(Tabelle1[[#This Row],[Einpressen]]=1,2,IF(Tabelle1[[#This Row],[Werkzeuglos]]=1,3,0)))=select!$E$7,1,0)</f>
        <v>1</v>
      </c>
      <c r="I354" s="46">
        <f ca="1">IF(Tabelle1[[#This Row],[Winkel]]+Tabelle1[[#This Row],[Kröpfung]]+Tabelle1[[#This Row],[Däpfung]]+Tabelle1[[#This Row],[Bohrbild]]+Tabelle1[[#This Row],[Scharnierbefestigung]]=5,1,0)</f>
        <v>0</v>
      </c>
      <c r="J354" t="str">
        <f ca="1">Sprache!$A$55</f>
        <v>TIOMOS hinge TS-Click-on</v>
      </c>
      <c r="K354" t="str">
        <f ca="1">"95°, B-BB, K00, "&amp;Sprache!A59&amp;", ni"</f>
        <v>95°, B-BB, K00, Dowel, ni</v>
      </c>
      <c r="L354" t="str">
        <f ca="1">Sprache!$A$63</f>
        <v>TIOMOS Click-on hinges</v>
      </c>
      <c r="M354">
        <v>0</v>
      </c>
      <c r="N354" t="s">
        <v>3</v>
      </c>
      <c r="O354">
        <v>95</v>
      </c>
      <c r="P354">
        <v>1</v>
      </c>
      <c r="Q354">
        <v>0</v>
      </c>
      <c r="R354">
        <v>0</v>
      </c>
      <c r="S354">
        <v>0</v>
      </c>
      <c r="T354">
        <v>1</v>
      </c>
      <c r="U354">
        <v>0</v>
      </c>
      <c r="V354" s="14" t="s">
        <v>377</v>
      </c>
    </row>
    <row r="355" spans="1:22" ht="14.25" customHeight="1" x14ac:dyDescent="0.25">
      <c r="A355" s="48" t="str">
        <f>LEFT(Tabelle1[[#This Row],[Artikel'#]],4)</f>
        <v>F028</v>
      </c>
      <c r="B355" s="46" t="str">
        <f>MID(Tabelle1[[#This Row],[Artikel'#]],5,3)</f>
        <v>138</v>
      </c>
      <c r="C355" s="48" t="str">
        <f>RIGHT(Tabelle1[[#This Row],[Artikel'#]],3)</f>
        <v>572</v>
      </c>
      <c r="D355" s="46">
        <f>IF(Tabelle1[[#This Row],[Winkel2]]=select!$A$2,1,0)</f>
        <v>0</v>
      </c>
      <c r="E3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5" s="46">
        <f>IF(select!$E$16=IF(Tabelle1[[#This Row],[mit Dämpfung]]=1,1,IF(Tabelle1[[#This Row],[ohne Dämpfung]]=1,2,IF(Tabelle1[[#This Row],[ohne Feder]]=1,3,0))),1,0)</f>
        <v>1</v>
      </c>
      <c r="G355" s="46">
        <f>IF(Tabelle1[[#This Row],[Links]]=select!$I$2,1,0)</f>
        <v>1</v>
      </c>
      <c r="H355" s="46">
        <f>IF(IF(Tabelle1[[#This Row],[Anschrauben]]=1,1,IF(Tabelle1[[#This Row],[Einpressen]]=1,2,IF(Tabelle1[[#This Row],[Werkzeuglos]]=1,3,0)))=select!$E$7,1,0)</f>
        <v>1</v>
      </c>
      <c r="I355" s="46">
        <f ca="1">IF(Tabelle1[[#This Row],[Winkel]]+Tabelle1[[#This Row],[Kröpfung]]+Tabelle1[[#This Row],[Däpfung]]+Tabelle1[[#This Row],[Bohrbild]]+Tabelle1[[#This Row],[Scharnierbefestigung]]=5,1,0)</f>
        <v>0</v>
      </c>
      <c r="J355" t="str">
        <f ca="1">Sprache!$A$55</f>
        <v>TIOMOS hinge TS-Click-on</v>
      </c>
      <c r="K355" t="str">
        <f ca="1">"95°, B-BB, K03, "&amp;Sprache!A59&amp;", ni"</f>
        <v>95°, B-BB, K03, Dowel, ni</v>
      </c>
      <c r="L355" t="str">
        <f ca="1">Sprache!$A$63</f>
        <v>TIOMOS Click-on hinges</v>
      </c>
      <c r="M355">
        <v>3</v>
      </c>
      <c r="N355" t="s">
        <v>3</v>
      </c>
      <c r="O355">
        <v>95</v>
      </c>
      <c r="P355">
        <v>1</v>
      </c>
      <c r="Q355">
        <v>0</v>
      </c>
      <c r="R355">
        <v>0</v>
      </c>
      <c r="S355">
        <v>0</v>
      </c>
      <c r="T355">
        <v>1</v>
      </c>
      <c r="U355">
        <v>0</v>
      </c>
      <c r="V355" s="14" t="s">
        <v>378</v>
      </c>
    </row>
    <row r="356" spans="1:22" ht="14.25" customHeight="1" x14ac:dyDescent="0.25">
      <c r="A356" s="48" t="str">
        <f>LEFT(Tabelle1[[#This Row],[Artikel'#]],4)</f>
        <v>F028</v>
      </c>
      <c r="B356" s="46" t="str">
        <f>MID(Tabelle1[[#This Row],[Artikel'#]],5,3)</f>
        <v>138</v>
      </c>
      <c r="C356" s="48" t="str">
        <f>RIGHT(Tabelle1[[#This Row],[Artikel'#]],3)</f>
        <v>573</v>
      </c>
      <c r="D356" s="46">
        <f>IF(Tabelle1[[#This Row],[Winkel2]]=select!$A$2,1,0)</f>
        <v>0</v>
      </c>
      <c r="E3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56" s="46">
        <f>IF(select!$E$16=IF(Tabelle1[[#This Row],[mit Dämpfung]]=1,1,IF(Tabelle1[[#This Row],[ohne Dämpfung]]=1,2,IF(Tabelle1[[#This Row],[ohne Feder]]=1,3,0))),1,0)</f>
        <v>1</v>
      </c>
      <c r="G356" s="46">
        <f>IF(Tabelle1[[#This Row],[Links]]=select!$I$2,1,0)</f>
        <v>1</v>
      </c>
      <c r="H356" s="46">
        <f>IF(IF(Tabelle1[[#This Row],[Anschrauben]]=1,1,IF(Tabelle1[[#This Row],[Einpressen]]=1,2,IF(Tabelle1[[#This Row],[Werkzeuglos]]=1,3,0)))=select!$E$7,1,0)</f>
        <v>1</v>
      </c>
      <c r="I356" s="46">
        <f ca="1">IF(Tabelle1[[#This Row],[Winkel]]+Tabelle1[[#This Row],[Kröpfung]]+Tabelle1[[#This Row],[Däpfung]]+Tabelle1[[#This Row],[Bohrbild]]+Tabelle1[[#This Row],[Scharnierbefestigung]]=5,1,0)</f>
        <v>0</v>
      </c>
      <c r="J356" t="str">
        <f ca="1">Sprache!$A$55</f>
        <v>TIOMOS hinge TS-Click-on</v>
      </c>
      <c r="K356" t="str">
        <f ca="1">"95°, B-BB, K95, "&amp;Sprache!A59&amp;", ni"</f>
        <v>95°, B-BB, K95, Dowel, ni</v>
      </c>
      <c r="L356" t="str">
        <f ca="1">Sprache!$A$63</f>
        <v>TIOMOS Click-on hinges</v>
      </c>
      <c r="M356">
        <v>9.5</v>
      </c>
      <c r="N356" t="s">
        <v>3</v>
      </c>
      <c r="O356">
        <v>95</v>
      </c>
      <c r="P356">
        <v>1</v>
      </c>
      <c r="Q356">
        <v>0</v>
      </c>
      <c r="R356">
        <v>0</v>
      </c>
      <c r="S356">
        <v>0</v>
      </c>
      <c r="T356">
        <v>1</v>
      </c>
      <c r="U356">
        <v>0</v>
      </c>
      <c r="V356" s="14" t="s">
        <v>379</v>
      </c>
    </row>
    <row r="357" spans="1:22" ht="14.25" customHeight="1" x14ac:dyDescent="0.25">
      <c r="A357" s="48" t="str">
        <f>LEFT(Tabelle1[[#This Row],[Artikel'#]],4)</f>
        <v>F028</v>
      </c>
      <c r="B357" s="46" t="str">
        <f>MID(Tabelle1[[#This Row],[Artikel'#]],5,3)</f>
        <v>138</v>
      </c>
      <c r="C357" s="48" t="str">
        <f>RIGHT(Tabelle1[[#This Row],[Artikel'#]],3)</f>
        <v>574</v>
      </c>
      <c r="D357" s="46">
        <f>IF(Tabelle1[[#This Row],[Winkel2]]=select!$A$2,1,0)</f>
        <v>0</v>
      </c>
      <c r="E3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7" s="46">
        <f>IF(select!$E$16=IF(Tabelle1[[#This Row],[mit Dämpfung]]=1,1,IF(Tabelle1[[#This Row],[ohne Dämpfung]]=1,2,IF(Tabelle1[[#This Row],[ohne Feder]]=1,3,0))),1,0)</f>
        <v>1</v>
      </c>
      <c r="G357" s="46">
        <f>IF(Tabelle1[[#This Row],[Links]]=select!$I$2,1,0)</f>
        <v>1</v>
      </c>
      <c r="H357" s="46">
        <f>IF(IF(Tabelle1[[#This Row],[Anschrauben]]=1,1,IF(Tabelle1[[#This Row],[Einpressen]]=1,2,IF(Tabelle1[[#This Row],[Werkzeuglos]]=1,3,0)))=select!$E$7,1,0)</f>
        <v>1</v>
      </c>
      <c r="I357" s="46">
        <f ca="1">IF(Tabelle1[[#This Row],[Winkel]]+Tabelle1[[#This Row],[Kröpfung]]+Tabelle1[[#This Row],[Däpfung]]+Tabelle1[[#This Row],[Bohrbild]]+Tabelle1[[#This Row],[Scharnierbefestigung]]=5,1,0)</f>
        <v>0</v>
      </c>
      <c r="J357" t="str">
        <f ca="1">Sprache!$A$55</f>
        <v>TIOMOS hinge TS-Click-on</v>
      </c>
      <c r="K357" t="str">
        <f ca="1">"95°, B-BB, K19, "&amp;Sprache!A59&amp;", ni"</f>
        <v>95°, B-BB, K19, Dowel, ni</v>
      </c>
      <c r="L357" t="str">
        <f ca="1">Sprache!$A$63</f>
        <v>TIOMOS Click-on hinges</v>
      </c>
      <c r="M357">
        <v>19</v>
      </c>
      <c r="N357" t="s">
        <v>3</v>
      </c>
      <c r="O357">
        <v>95</v>
      </c>
      <c r="P357">
        <v>1</v>
      </c>
      <c r="Q357">
        <v>0</v>
      </c>
      <c r="R357">
        <v>0</v>
      </c>
      <c r="S357">
        <v>0</v>
      </c>
      <c r="T357">
        <v>1</v>
      </c>
      <c r="U357">
        <v>0</v>
      </c>
      <c r="V357" s="14" t="s">
        <v>380</v>
      </c>
    </row>
    <row r="358" spans="1:22" ht="14.25" customHeight="1" x14ac:dyDescent="0.25">
      <c r="A358" s="48" t="str">
        <f>LEFT(Tabelle1[[#This Row],[Artikel'#]],4)</f>
        <v>F028</v>
      </c>
      <c r="B358" s="46" t="str">
        <f>MID(Tabelle1[[#This Row],[Artikel'#]],5,3)</f>
        <v>138</v>
      </c>
      <c r="C358" s="48" t="str">
        <f>RIGHT(Tabelle1[[#This Row],[Artikel'#]],3)</f>
        <v>701</v>
      </c>
      <c r="D358" s="46">
        <f>IF(Tabelle1[[#This Row],[Winkel2]]=select!$A$2,1,0)</f>
        <v>1</v>
      </c>
      <c r="E3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8" s="46">
        <f>IF(select!$E$16=IF(Tabelle1[[#This Row],[mit Dämpfung]]=1,1,IF(Tabelle1[[#This Row],[ohne Dämpfung]]=1,2,IF(Tabelle1[[#This Row],[ohne Feder]]=1,3,0))),1,0)</f>
        <v>1</v>
      </c>
      <c r="G358" s="46">
        <f>IF(Tabelle1[[#This Row],[Links]]=select!$I$2,1,0)</f>
        <v>0</v>
      </c>
      <c r="H358" s="46">
        <f>IF(IF(Tabelle1[[#This Row],[Anschrauben]]=1,1,IF(Tabelle1[[#This Row],[Einpressen]]=1,2,IF(Tabelle1[[#This Row],[Werkzeuglos]]=1,3,0)))=select!$E$7,1,0)</f>
        <v>0</v>
      </c>
      <c r="I358" s="46">
        <f ca="1">IF(Tabelle1[[#This Row],[Winkel]]+Tabelle1[[#This Row],[Kröpfung]]+Tabelle1[[#This Row],[Däpfung]]+Tabelle1[[#This Row],[Bohrbild]]+Tabelle1[[#This Row],[Scharnierbefestigung]]=5,1,0)</f>
        <v>0</v>
      </c>
      <c r="J358" t="str">
        <f ca="1">Sprache!$A$55</f>
        <v>TIOMOS hinge TS-Click-on</v>
      </c>
      <c r="K358" t="s">
        <v>382</v>
      </c>
      <c r="L358" t="str">
        <f ca="1">Sprache!$A$63</f>
        <v>TIOMOS Click-on hinges</v>
      </c>
      <c r="M358">
        <v>0</v>
      </c>
      <c r="N358" t="s">
        <v>14</v>
      </c>
      <c r="O358">
        <v>110</v>
      </c>
      <c r="P358">
        <v>1</v>
      </c>
      <c r="Q358">
        <v>0</v>
      </c>
      <c r="R358">
        <v>0</v>
      </c>
      <c r="S358">
        <v>1</v>
      </c>
      <c r="T358">
        <v>0</v>
      </c>
      <c r="U358">
        <v>0</v>
      </c>
      <c r="V358" s="14" t="s">
        <v>381</v>
      </c>
    </row>
    <row r="359" spans="1:22" ht="14.25" customHeight="1" x14ac:dyDescent="0.25">
      <c r="A359" s="48" t="str">
        <f>LEFT(Tabelle1[[#This Row],[Artikel'#]],4)</f>
        <v>F028</v>
      </c>
      <c r="B359" s="46" t="str">
        <f>MID(Tabelle1[[#This Row],[Artikel'#]],5,3)</f>
        <v>138</v>
      </c>
      <c r="C359" s="48" t="str">
        <f>RIGHT(Tabelle1[[#This Row],[Artikel'#]],3)</f>
        <v>702</v>
      </c>
      <c r="D359" s="46">
        <f>IF(Tabelle1[[#This Row],[Winkel2]]=select!$A$2,1,0)</f>
        <v>1</v>
      </c>
      <c r="E3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59" s="46">
        <f>IF(select!$E$16=IF(Tabelle1[[#This Row],[mit Dämpfung]]=1,1,IF(Tabelle1[[#This Row],[ohne Dämpfung]]=1,2,IF(Tabelle1[[#This Row],[ohne Feder]]=1,3,0))),1,0)</f>
        <v>1</v>
      </c>
      <c r="G359" s="46">
        <f>IF(Tabelle1[[#This Row],[Links]]=select!$I$2,1,0)</f>
        <v>0</v>
      </c>
      <c r="H359" s="46">
        <f>IF(IF(Tabelle1[[#This Row],[Anschrauben]]=1,1,IF(Tabelle1[[#This Row],[Einpressen]]=1,2,IF(Tabelle1[[#This Row],[Werkzeuglos]]=1,3,0)))=select!$E$7,1,0)</f>
        <v>0</v>
      </c>
      <c r="I359" s="46">
        <f ca="1">IF(Tabelle1[[#This Row],[Winkel]]+Tabelle1[[#This Row],[Kröpfung]]+Tabelle1[[#This Row],[Däpfung]]+Tabelle1[[#This Row],[Bohrbild]]+Tabelle1[[#This Row],[Scharnierbefestigung]]=5,1,0)</f>
        <v>0</v>
      </c>
      <c r="J359" t="str">
        <f ca="1">Sprache!$A$55</f>
        <v>TIOMOS hinge TS-Click-on</v>
      </c>
      <c r="K359" t="s">
        <v>384</v>
      </c>
      <c r="L359" t="str">
        <f ca="1">Sprache!$A$63</f>
        <v>TIOMOS Click-on hinges</v>
      </c>
      <c r="M359">
        <v>3</v>
      </c>
      <c r="N359" t="s">
        <v>14</v>
      </c>
      <c r="O359">
        <v>110</v>
      </c>
      <c r="P359">
        <v>1</v>
      </c>
      <c r="Q359">
        <v>0</v>
      </c>
      <c r="R359">
        <v>0</v>
      </c>
      <c r="S359">
        <v>1</v>
      </c>
      <c r="T359">
        <v>0</v>
      </c>
      <c r="U359">
        <v>0</v>
      </c>
      <c r="V359" s="14" t="s">
        <v>383</v>
      </c>
    </row>
    <row r="360" spans="1:22" ht="14.25" customHeight="1" x14ac:dyDescent="0.25">
      <c r="A360" s="48" t="str">
        <f>LEFT(Tabelle1[[#This Row],[Artikel'#]],4)</f>
        <v>F028</v>
      </c>
      <c r="B360" s="46" t="str">
        <f>MID(Tabelle1[[#This Row],[Artikel'#]],5,3)</f>
        <v>138</v>
      </c>
      <c r="C360" s="48" t="str">
        <f>RIGHT(Tabelle1[[#This Row],[Artikel'#]],3)</f>
        <v>703</v>
      </c>
      <c r="D360" s="46">
        <f>IF(Tabelle1[[#This Row],[Winkel2]]=select!$A$2,1,0)</f>
        <v>1</v>
      </c>
      <c r="E3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60" s="46">
        <f>IF(select!$E$16=IF(Tabelle1[[#This Row],[mit Dämpfung]]=1,1,IF(Tabelle1[[#This Row],[ohne Dämpfung]]=1,2,IF(Tabelle1[[#This Row],[ohne Feder]]=1,3,0))),1,0)</f>
        <v>1</v>
      </c>
      <c r="G360" s="46">
        <f>IF(Tabelle1[[#This Row],[Links]]=select!$I$2,1,0)</f>
        <v>0</v>
      </c>
      <c r="H360" s="46">
        <f>IF(IF(Tabelle1[[#This Row],[Anschrauben]]=1,1,IF(Tabelle1[[#This Row],[Einpressen]]=1,2,IF(Tabelle1[[#This Row],[Werkzeuglos]]=1,3,0)))=select!$E$7,1,0)</f>
        <v>0</v>
      </c>
      <c r="I360" s="46">
        <f ca="1">IF(Tabelle1[[#This Row],[Winkel]]+Tabelle1[[#This Row],[Kröpfung]]+Tabelle1[[#This Row],[Däpfung]]+Tabelle1[[#This Row],[Bohrbild]]+Tabelle1[[#This Row],[Scharnierbefestigung]]=5,1,0)</f>
        <v>0</v>
      </c>
      <c r="J360" t="str">
        <f ca="1">Sprache!$A$55</f>
        <v>TIOMOS hinge TS-Click-on</v>
      </c>
      <c r="K360" t="s">
        <v>386</v>
      </c>
      <c r="L360" t="str">
        <f ca="1">Sprache!$A$63</f>
        <v>TIOMOS Click-on hinges</v>
      </c>
      <c r="M360">
        <v>9.5</v>
      </c>
      <c r="N360" t="s">
        <v>14</v>
      </c>
      <c r="O360">
        <v>110</v>
      </c>
      <c r="P360">
        <v>1</v>
      </c>
      <c r="Q360">
        <v>0</v>
      </c>
      <c r="R360">
        <v>0</v>
      </c>
      <c r="S360">
        <v>1</v>
      </c>
      <c r="T360">
        <v>0</v>
      </c>
      <c r="U360">
        <v>0</v>
      </c>
      <c r="V360" s="14" t="s">
        <v>385</v>
      </c>
    </row>
    <row r="361" spans="1:22" ht="14.25" customHeight="1" x14ac:dyDescent="0.25">
      <c r="A361" s="48" t="str">
        <f>LEFT(Tabelle1[[#This Row],[Artikel'#]],4)</f>
        <v>F028</v>
      </c>
      <c r="B361" s="46" t="str">
        <f>MID(Tabelle1[[#This Row],[Artikel'#]],5,3)</f>
        <v>138</v>
      </c>
      <c r="C361" s="48" t="str">
        <f>RIGHT(Tabelle1[[#This Row],[Artikel'#]],3)</f>
        <v>704</v>
      </c>
      <c r="D361" s="46">
        <f>IF(Tabelle1[[#This Row],[Winkel2]]=select!$A$2,1,0)</f>
        <v>1</v>
      </c>
      <c r="E3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1" s="46">
        <f>IF(select!$E$16=IF(Tabelle1[[#This Row],[mit Dämpfung]]=1,1,IF(Tabelle1[[#This Row],[ohne Dämpfung]]=1,2,IF(Tabelle1[[#This Row],[ohne Feder]]=1,3,0))),1,0)</f>
        <v>1</v>
      </c>
      <c r="G361" s="46">
        <f>IF(Tabelle1[[#This Row],[Links]]=select!$I$2,1,0)</f>
        <v>0</v>
      </c>
      <c r="H361" s="46">
        <f>IF(IF(Tabelle1[[#This Row],[Anschrauben]]=1,1,IF(Tabelle1[[#This Row],[Einpressen]]=1,2,IF(Tabelle1[[#This Row],[Werkzeuglos]]=1,3,0)))=select!$E$7,1,0)</f>
        <v>0</v>
      </c>
      <c r="I361" s="46">
        <f ca="1">IF(Tabelle1[[#This Row],[Winkel]]+Tabelle1[[#This Row],[Kröpfung]]+Tabelle1[[#This Row],[Däpfung]]+Tabelle1[[#This Row],[Bohrbild]]+Tabelle1[[#This Row],[Scharnierbefestigung]]=5,1,0)</f>
        <v>0</v>
      </c>
      <c r="J361" t="str">
        <f ca="1">Sprache!$A$55</f>
        <v>TIOMOS hinge TS-Click-on</v>
      </c>
      <c r="K361" t="s">
        <v>388</v>
      </c>
      <c r="L361" t="str">
        <f ca="1">Sprache!$A$63</f>
        <v>TIOMOS Click-on hinges</v>
      </c>
      <c r="M361">
        <v>19</v>
      </c>
      <c r="N361" t="s">
        <v>14</v>
      </c>
      <c r="O361">
        <v>110</v>
      </c>
      <c r="P361">
        <v>1</v>
      </c>
      <c r="Q361">
        <v>0</v>
      </c>
      <c r="R361">
        <v>0</v>
      </c>
      <c r="S361">
        <v>1</v>
      </c>
      <c r="T361">
        <v>0</v>
      </c>
      <c r="U361">
        <v>0</v>
      </c>
      <c r="V361" s="14" t="s">
        <v>387</v>
      </c>
    </row>
    <row r="362" spans="1:22" ht="14.25" customHeight="1" x14ac:dyDescent="0.25">
      <c r="A362" s="48" t="str">
        <f>LEFT(Tabelle1[[#This Row],[Artikel'#]],4)</f>
        <v>F028</v>
      </c>
      <c r="B362" s="46" t="str">
        <f>MID(Tabelle1[[#This Row],[Artikel'#]],5,3)</f>
        <v>138</v>
      </c>
      <c r="C362" s="48" t="str">
        <f>RIGHT(Tabelle1[[#This Row],[Artikel'#]],3)</f>
        <v>705</v>
      </c>
      <c r="D362" s="46">
        <f>IF(Tabelle1[[#This Row],[Winkel2]]=select!$A$2,1,0)</f>
        <v>1</v>
      </c>
      <c r="E3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2" s="46">
        <f>IF(select!$E$16=IF(Tabelle1[[#This Row],[mit Dämpfung]]=1,1,IF(Tabelle1[[#This Row],[ohne Dämpfung]]=1,2,IF(Tabelle1[[#This Row],[ohne Feder]]=1,3,0))),1,0)</f>
        <v>1</v>
      </c>
      <c r="G362" s="46">
        <f>IF(Tabelle1[[#This Row],[Links]]=select!$I$2,1,0)</f>
        <v>0</v>
      </c>
      <c r="H362" s="46">
        <f>IF(IF(Tabelle1[[#This Row],[Anschrauben]]=1,1,IF(Tabelle1[[#This Row],[Einpressen]]=1,2,IF(Tabelle1[[#This Row],[Werkzeuglos]]=1,3,0)))=select!$E$7,1,0)</f>
        <v>1</v>
      </c>
      <c r="I362" s="46">
        <f ca="1">IF(Tabelle1[[#This Row],[Winkel]]+Tabelle1[[#This Row],[Kröpfung]]+Tabelle1[[#This Row],[Däpfung]]+Tabelle1[[#This Row],[Bohrbild]]+Tabelle1[[#This Row],[Scharnierbefestigung]]=5,1,0)</f>
        <v>0</v>
      </c>
      <c r="J362" t="str">
        <f ca="1">Sprache!$A$55</f>
        <v>TIOMOS hinge TS-Click-on</v>
      </c>
      <c r="K362" t="str">
        <f ca="1">"110°, H-BB, K00, "&amp;Sprache!A59&amp;", ni"</f>
        <v>110°, H-BB, K00, Dowel, ni</v>
      </c>
      <c r="L362" t="str">
        <f ca="1">Sprache!$A$63</f>
        <v>TIOMOS Click-on hinges</v>
      </c>
      <c r="M362">
        <v>0</v>
      </c>
      <c r="N362" t="s">
        <v>14</v>
      </c>
      <c r="O362">
        <v>110</v>
      </c>
      <c r="P362">
        <v>1</v>
      </c>
      <c r="Q362">
        <v>0</v>
      </c>
      <c r="R362">
        <v>0</v>
      </c>
      <c r="S362">
        <v>0</v>
      </c>
      <c r="T362">
        <v>1</v>
      </c>
      <c r="U362">
        <v>0</v>
      </c>
      <c r="V362" s="14" t="s">
        <v>389</v>
      </c>
    </row>
    <row r="363" spans="1:22" ht="14.25" customHeight="1" x14ac:dyDescent="0.25">
      <c r="A363" s="48" t="str">
        <f>LEFT(Tabelle1[[#This Row],[Artikel'#]],4)</f>
        <v>F028</v>
      </c>
      <c r="B363" s="46" t="str">
        <f>MID(Tabelle1[[#This Row],[Artikel'#]],5,3)</f>
        <v>138</v>
      </c>
      <c r="C363" s="48" t="str">
        <f>RIGHT(Tabelle1[[#This Row],[Artikel'#]],3)</f>
        <v>706</v>
      </c>
      <c r="D363" s="46">
        <f>IF(Tabelle1[[#This Row],[Winkel2]]=select!$A$2,1,0)</f>
        <v>1</v>
      </c>
      <c r="E3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3" s="46">
        <f>IF(select!$E$16=IF(Tabelle1[[#This Row],[mit Dämpfung]]=1,1,IF(Tabelle1[[#This Row],[ohne Dämpfung]]=1,2,IF(Tabelle1[[#This Row],[ohne Feder]]=1,3,0))),1,0)</f>
        <v>1</v>
      </c>
      <c r="G363" s="46">
        <f>IF(Tabelle1[[#This Row],[Links]]=select!$I$2,1,0)</f>
        <v>0</v>
      </c>
      <c r="H363" s="46">
        <f>IF(IF(Tabelle1[[#This Row],[Anschrauben]]=1,1,IF(Tabelle1[[#This Row],[Einpressen]]=1,2,IF(Tabelle1[[#This Row],[Werkzeuglos]]=1,3,0)))=select!$E$7,1,0)</f>
        <v>1</v>
      </c>
      <c r="I363" s="46">
        <f ca="1">IF(Tabelle1[[#This Row],[Winkel]]+Tabelle1[[#This Row],[Kröpfung]]+Tabelle1[[#This Row],[Däpfung]]+Tabelle1[[#This Row],[Bohrbild]]+Tabelle1[[#This Row],[Scharnierbefestigung]]=5,1,0)</f>
        <v>0</v>
      </c>
      <c r="J363" t="str">
        <f ca="1">Sprache!$A$55</f>
        <v>TIOMOS hinge TS-Click-on</v>
      </c>
      <c r="K363" t="str">
        <f ca="1">"110°, H-BB, K03, "&amp;Sprache!A59&amp;", ni"</f>
        <v>110°, H-BB, K03, Dowel, ni</v>
      </c>
      <c r="L363" t="str">
        <f ca="1">Sprache!$A$63</f>
        <v>TIOMOS Click-on hinges</v>
      </c>
      <c r="M363">
        <v>3</v>
      </c>
      <c r="N363" t="s">
        <v>14</v>
      </c>
      <c r="O363">
        <v>110</v>
      </c>
      <c r="P363">
        <v>1</v>
      </c>
      <c r="Q363">
        <v>0</v>
      </c>
      <c r="R363">
        <v>0</v>
      </c>
      <c r="S363">
        <v>0</v>
      </c>
      <c r="T363">
        <v>1</v>
      </c>
      <c r="U363">
        <v>0</v>
      </c>
      <c r="V363" s="14" t="s">
        <v>390</v>
      </c>
    </row>
    <row r="364" spans="1:22" ht="14.25" customHeight="1" x14ac:dyDescent="0.25">
      <c r="A364" s="48" t="str">
        <f>LEFT(Tabelle1[[#This Row],[Artikel'#]],4)</f>
        <v>F028</v>
      </c>
      <c r="B364" s="46" t="str">
        <f>MID(Tabelle1[[#This Row],[Artikel'#]],5,3)</f>
        <v>138</v>
      </c>
      <c r="C364" s="48" t="str">
        <f>RIGHT(Tabelle1[[#This Row],[Artikel'#]],3)</f>
        <v>707</v>
      </c>
      <c r="D364" s="46">
        <f>IF(Tabelle1[[#This Row],[Winkel2]]=select!$A$2,1,0)</f>
        <v>1</v>
      </c>
      <c r="E3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64" s="46">
        <f>IF(select!$E$16=IF(Tabelle1[[#This Row],[mit Dämpfung]]=1,1,IF(Tabelle1[[#This Row],[ohne Dämpfung]]=1,2,IF(Tabelle1[[#This Row],[ohne Feder]]=1,3,0))),1,0)</f>
        <v>1</v>
      </c>
      <c r="G364" s="46">
        <f>IF(Tabelle1[[#This Row],[Links]]=select!$I$2,1,0)</f>
        <v>0</v>
      </c>
      <c r="H364" s="46">
        <f>IF(IF(Tabelle1[[#This Row],[Anschrauben]]=1,1,IF(Tabelle1[[#This Row],[Einpressen]]=1,2,IF(Tabelle1[[#This Row],[Werkzeuglos]]=1,3,0)))=select!$E$7,1,0)</f>
        <v>1</v>
      </c>
      <c r="I364" s="46">
        <f ca="1">IF(Tabelle1[[#This Row],[Winkel]]+Tabelle1[[#This Row],[Kröpfung]]+Tabelle1[[#This Row],[Däpfung]]+Tabelle1[[#This Row],[Bohrbild]]+Tabelle1[[#This Row],[Scharnierbefestigung]]=5,1,0)</f>
        <v>0</v>
      </c>
      <c r="J364" t="str">
        <f ca="1">Sprache!$A$55</f>
        <v>TIOMOS hinge TS-Click-on</v>
      </c>
      <c r="K364" t="str">
        <f ca="1">"110°, H-BB, K95, "&amp;Sprache!A59&amp;", ni"</f>
        <v>110°, H-BB, K95, Dowel, ni</v>
      </c>
      <c r="L364" t="str">
        <f ca="1">Sprache!$A$63</f>
        <v>TIOMOS Click-on hinges</v>
      </c>
      <c r="M364">
        <v>9.5</v>
      </c>
      <c r="N364" t="s">
        <v>14</v>
      </c>
      <c r="O364">
        <v>110</v>
      </c>
      <c r="P364">
        <v>1</v>
      </c>
      <c r="Q364">
        <v>0</v>
      </c>
      <c r="R364">
        <v>0</v>
      </c>
      <c r="S364">
        <v>0</v>
      </c>
      <c r="T364">
        <v>1</v>
      </c>
      <c r="U364">
        <v>0</v>
      </c>
      <c r="V364" s="14" t="s">
        <v>391</v>
      </c>
    </row>
    <row r="365" spans="1:22" ht="14.25" customHeight="1" x14ac:dyDescent="0.25">
      <c r="A365" s="48" t="str">
        <f>LEFT(Tabelle1[[#This Row],[Artikel'#]],4)</f>
        <v>F028</v>
      </c>
      <c r="B365" s="46" t="str">
        <f>MID(Tabelle1[[#This Row],[Artikel'#]],5,3)</f>
        <v>138</v>
      </c>
      <c r="C365" s="48" t="str">
        <f>RIGHT(Tabelle1[[#This Row],[Artikel'#]],3)</f>
        <v>708</v>
      </c>
      <c r="D365" s="46">
        <f>IF(Tabelle1[[#This Row],[Winkel2]]=select!$A$2,1,0)</f>
        <v>1</v>
      </c>
      <c r="E3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5" s="46">
        <f>IF(select!$E$16=IF(Tabelle1[[#This Row],[mit Dämpfung]]=1,1,IF(Tabelle1[[#This Row],[ohne Dämpfung]]=1,2,IF(Tabelle1[[#This Row],[ohne Feder]]=1,3,0))),1,0)</f>
        <v>1</v>
      </c>
      <c r="G365" s="46">
        <f>IF(Tabelle1[[#This Row],[Links]]=select!$I$2,1,0)</f>
        <v>0</v>
      </c>
      <c r="H365" s="46">
        <f>IF(IF(Tabelle1[[#This Row],[Anschrauben]]=1,1,IF(Tabelle1[[#This Row],[Einpressen]]=1,2,IF(Tabelle1[[#This Row],[Werkzeuglos]]=1,3,0)))=select!$E$7,1,0)</f>
        <v>1</v>
      </c>
      <c r="I365" s="46">
        <f ca="1">IF(Tabelle1[[#This Row],[Winkel]]+Tabelle1[[#This Row],[Kröpfung]]+Tabelle1[[#This Row],[Däpfung]]+Tabelle1[[#This Row],[Bohrbild]]+Tabelle1[[#This Row],[Scharnierbefestigung]]=5,1,0)</f>
        <v>0</v>
      </c>
      <c r="J365" t="str">
        <f ca="1">Sprache!$A$55</f>
        <v>TIOMOS hinge TS-Click-on</v>
      </c>
      <c r="K365" t="str">
        <f ca="1">"110°, H-BB, K19, "&amp;Sprache!A59&amp;", ni"</f>
        <v>110°, H-BB, K19, Dowel, ni</v>
      </c>
      <c r="L365" t="str">
        <f ca="1">Sprache!$A$63</f>
        <v>TIOMOS Click-on hinges</v>
      </c>
      <c r="M365">
        <v>19</v>
      </c>
      <c r="N365" t="s">
        <v>14</v>
      </c>
      <c r="O365">
        <v>110</v>
      </c>
      <c r="P365">
        <v>1</v>
      </c>
      <c r="Q365">
        <v>0</v>
      </c>
      <c r="R365">
        <v>0</v>
      </c>
      <c r="S365">
        <v>0</v>
      </c>
      <c r="T365">
        <v>1</v>
      </c>
      <c r="U365">
        <v>0</v>
      </c>
      <c r="V365" s="14" t="s">
        <v>392</v>
      </c>
    </row>
    <row r="366" spans="1:22" ht="14.25" customHeight="1" x14ac:dyDescent="0.25">
      <c r="A366" s="48" t="str">
        <f>LEFT(Tabelle1[[#This Row],[Artikel'#]],4)</f>
        <v>F028</v>
      </c>
      <c r="B366" s="46" t="str">
        <f>MID(Tabelle1[[#This Row],[Artikel'#]],5,3)</f>
        <v>138</v>
      </c>
      <c r="C366" s="48" t="str">
        <f>RIGHT(Tabelle1[[#This Row],[Artikel'#]],3)</f>
        <v>729</v>
      </c>
      <c r="D366" s="46">
        <f>IF(Tabelle1[[#This Row],[Winkel2]]=select!$A$2,1,0)</f>
        <v>0</v>
      </c>
      <c r="E3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6" s="46">
        <f>IF(select!$E$16=IF(Tabelle1[[#This Row],[mit Dämpfung]]=1,1,IF(Tabelle1[[#This Row],[ohne Dämpfung]]=1,2,IF(Tabelle1[[#This Row],[ohne Feder]]=1,3,0))),1,0)</f>
        <v>1</v>
      </c>
      <c r="G366" s="46">
        <f>IF(Tabelle1[[#This Row],[Links]]=select!$I$2,1,0)</f>
        <v>0</v>
      </c>
      <c r="H366" s="46">
        <f>IF(IF(Tabelle1[[#This Row],[Anschrauben]]=1,1,IF(Tabelle1[[#This Row],[Einpressen]]=1,2,IF(Tabelle1[[#This Row],[Werkzeuglos]]=1,3,0)))=select!$E$7,1,0)</f>
        <v>0</v>
      </c>
      <c r="I366" s="46">
        <f ca="1">IF(Tabelle1[[#This Row],[Winkel]]+Tabelle1[[#This Row],[Kröpfung]]+Tabelle1[[#This Row],[Däpfung]]+Tabelle1[[#This Row],[Bohrbild]]+Tabelle1[[#This Row],[Scharnierbefestigung]]=5,1,0)</f>
        <v>0</v>
      </c>
      <c r="J366" t="str">
        <f ca="1">Sprache!$A$55</f>
        <v>TIOMOS hinge TS-Click-on</v>
      </c>
      <c r="K366" t="s">
        <v>394</v>
      </c>
      <c r="L366" t="str">
        <f ca="1">Sprache!$A$63</f>
        <v>TIOMOS Click-on hinges</v>
      </c>
      <c r="M366">
        <v>0</v>
      </c>
      <c r="N366" t="s">
        <v>14</v>
      </c>
      <c r="O366">
        <v>120</v>
      </c>
      <c r="P366">
        <v>1</v>
      </c>
      <c r="Q366">
        <v>0</v>
      </c>
      <c r="R366">
        <v>0</v>
      </c>
      <c r="S366">
        <v>1</v>
      </c>
      <c r="T366">
        <v>0</v>
      </c>
      <c r="U366">
        <v>0</v>
      </c>
      <c r="V366" s="14" t="s">
        <v>393</v>
      </c>
    </row>
    <row r="367" spans="1:22" ht="14.25" customHeight="1" x14ac:dyDescent="0.25">
      <c r="A367" s="48" t="str">
        <f>LEFT(Tabelle1[[#This Row],[Artikel'#]],4)</f>
        <v>F028</v>
      </c>
      <c r="B367" s="46" t="str">
        <f>MID(Tabelle1[[#This Row],[Artikel'#]],5,3)</f>
        <v>138</v>
      </c>
      <c r="C367" s="48" t="str">
        <f>RIGHT(Tabelle1[[#This Row],[Artikel'#]],3)</f>
        <v>730</v>
      </c>
      <c r="D367" s="46">
        <f>IF(Tabelle1[[#This Row],[Winkel2]]=select!$A$2,1,0)</f>
        <v>0</v>
      </c>
      <c r="E3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7" s="46">
        <f>IF(select!$E$16=IF(Tabelle1[[#This Row],[mit Dämpfung]]=1,1,IF(Tabelle1[[#This Row],[ohne Dämpfung]]=1,2,IF(Tabelle1[[#This Row],[ohne Feder]]=1,3,0))),1,0)</f>
        <v>1</v>
      </c>
      <c r="G367" s="46">
        <f>IF(Tabelle1[[#This Row],[Links]]=select!$I$2,1,0)</f>
        <v>0</v>
      </c>
      <c r="H367" s="46">
        <f>IF(IF(Tabelle1[[#This Row],[Anschrauben]]=1,1,IF(Tabelle1[[#This Row],[Einpressen]]=1,2,IF(Tabelle1[[#This Row],[Werkzeuglos]]=1,3,0)))=select!$E$7,1,0)</f>
        <v>0</v>
      </c>
      <c r="I367" s="46">
        <f ca="1">IF(Tabelle1[[#This Row],[Winkel]]+Tabelle1[[#This Row],[Kröpfung]]+Tabelle1[[#This Row],[Däpfung]]+Tabelle1[[#This Row],[Bohrbild]]+Tabelle1[[#This Row],[Scharnierbefestigung]]=5,1,0)</f>
        <v>0</v>
      </c>
      <c r="J367" t="str">
        <f ca="1">Sprache!$A$55</f>
        <v>TIOMOS hinge TS-Click-on</v>
      </c>
      <c r="K367" t="s">
        <v>396</v>
      </c>
      <c r="L367" t="str">
        <f ca="1">Sprache!$A$63</f>
        <v>TIOMOS Click-on hinges</v>
      </c>
      <c r="M367">
        <v>3</v>
      </c>
      <c r="N367" t="s">
        <v>14</v>
      </c>
      <c r="O367">
        <v>120</v>
      </c>
      <c r="P367">
        <v>1</v>
      </c>
      <c r="Q367">
        <v>0</v>
      </c>
      <c r="R367">
        <v>0</v>
      </c>
      <c r="S367">
        <v>1</v>
      </c>
      <c r="T367">
        <v>0</v>
      </c>
      <c r="U367">
        <v>0</v>
      </c>
      <c r="V367" s="14" t="s">
        <v>395</v>
      </c>
    </row>
    <row r="368" spans="1:22" ht="14.25" customHeight="1" x14ac:dyDescent="0.25">
      <c r="A368" s="48" t="str">
        <f>LEFT(Tabelle1[[#This Row],[Artikel'#]],4)</f>
        <v>F028</v>
      </c>
      <c r="B368" s="46" t="str">
        <f>MID(Tabelle1[[#This Row],[Artikel'#]],5,3)</f>
        <v>138</v>
      </c>
      <c r="C368" s="48" t="str">
        <f>RIGHT(Tabelle1[[#This Row],[Artikel'#]],3)</f>
        <v>731</v>
      </c>
      <c r="D368" s="46">
        <f>IF(Tabelle1[[#This Row],[Winkel2]]=select!$A$2,1,0)</f>
        <v>0</v>
      </c>
      <c r="E3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68" s="46">
        <f>IF(select!$E$16=IF(Tabelle1[[#This Row],[mit Dämpfung]]=1,1,IF(Tabelle1[[#This Row],[ohne Dämpfung]]=1,2,IF(Tabelle1[[#This Row],[ohne Feder]]=1,3,0))),1,0)</f>
        <v>1</v>
      </c>
      <c r="G368" s="46">
        <f>IF(Tabelle1[[#This Row],[Links]]=select!$I$2,1,0)</f>
        <v>0</v>
      </c>
      <c r="H368" s="46">
        <f>IF(IF(Tabelle1[[#This Row],[Anschrauben]]=1,1,IF(Tabelle1[[#This Row],[Einpressen]]=1,2,IF(Tabelle1[[#This Row],[Werkzeuglos]]=1,3,0)))=select!$E$7,1,0)</f>
        <v>0</v>
      </c>
      <c r="I368" s="46">
        <f ca="1">IF(Tabelle1[[#This Row],[Winkel]]+Tabelle1[[#This Row],[Kröpfung]]+Tabelle1[[#This Row],[Däpfung]]+Tabelle1[[#This Row],[Bohrbild]]+Tabelle1[[#This Row],[Scharnierbefestigung]]=5,1,0)</f>
        <v>0</v>
      </c>
      <c r="J368" t="str">
        <f ca="1">Sprache!$A$55</f>
        <v>TIOMOS hinge TS-Click-on</v>
      </c>
      <c r="K368" t="s">
        <v>398</v>
      </c>
      <c r="L368" t="str">
        <f ca="1">Sprache!$A$63</f>
        <v>TIOMOS Click-on hinges</v>
      </c>
      <c r="M368">
        <v>9.5</v>
      </c>
      <c r="N368" t="s">
        <v>14</v>
      </c>
      <c r="O368">
        <v>120</v>
      </c>
      <c r="P368">
        <v>1</v>
      </c>
      <c r="Q368">
        <v>0</v>
      </c>
      <c r="R368">
        <v>0</v>
      </c>
      <c r="S368">
        <v>1</v>
      </c>
      <c r="T368">
        <v>0</v>
      </c>
      <c r="U368">
        <v>0</v>
      </c>
      <c r="V368" s="14" t="s">
        <v>397</v>
      </c>
    </row>
    <row r="369" spans="1:22" ht="14.25" customHeight="1" x14ac:dyDescent="0.25">
      <c r="A369" s="48" t="str">
        <f>LEFT(Tabelle1[[#This Row],[Artikel'#]],4)</f>
        <v>F028</v>
      </c>
      <c r="B369" s="46" t="str">
        <f>MID(Tabelle1[[#This Row],[Artikel'#]],5,3)</f>
        <v>138</v>
      </c>
      <c r="C369" s="48" t="str">
        <f>RIGHT(Tabelle1[[#This Row],[Artikel'#]],3)</f>
        <v>733</v>
      </c>
      <c r="D369" s="46">
        <f>IF(Tabelle1[[#This Row],[Winkel2]]=select!$A$2,1,0)</f>
        <v>0</v>
      </c>
      <c r="E3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69" s="46">
        <f>IF(select!$E$16=IF(Tabelle1[[#This Row],[mit Dämpfung]]=1,1,IF(Tabelle1[[#This Row],[ohne Dämpfung]]=1,2,IF(Tabelle1[[#This Row],[ohne Feder]]=1,3,0))),1,0)</f>
        <v>1</v>
      </c>
      <c r="G369" s="46">
        <f>IF(Tabelle1[[#This Row],[Links]]=select!$I$2,1,0)</f>
        <v>0</v>
      </c>
      <c r="H369" s="46">
        <f>IF(IF(Tabelle1[[#This Row],[Anschrauben]]=1,1,IF(Tabelle1[[#This Row],[Einpressen]]=1,2,IF(Tabelle1[[#This Row],[Werkzeuglos]]=1,3,0)))=select!$E$7,1,0)</f>
        <v>1</v>
      </c>
      <c r="I369" s="46">
        <f ca="1">IF(Tabelle1[[#This Row],[Winkel]]+Tabelle1[[#This Row],[Kröpfung]]+Tabelle1[[#This Row],[Däpfung]]+Tabelle1[[#This Row],[Bohrbild]]+Tabelle1[[#This Row],[Scharnierbefestigung]]=5,1,0)</f>
        <v>0</v>
      </c>
      <c r="J369" t="str">
        <f ca="1">Sprache!$A$55</f>
        <v>TIOMOS hinge TS-Click-on</v>
      </c>
      <c r="K369" t="str">
        <f ca="1">"120°, H-BB, K00, "&amp;Sprache!A59&amp;", ni"</f>
        <v>120°, H-BB, K00, Dowel, ni</v>
      </c>
      <c r="L369" t="str">
        <f ca="1">Sprache!$A$63</f>
        <v>TIOMOS Click-on hinges</v>
      </c>
      <c r="M369">
        <v>0</v>
      </c>
      <c r="N369" t="s">
        <v>14</v>
      </c>
      <c r="O369">
        <v>120</v>
      </c>
      <c r="P369">
        <v>1</v>
      </c>
      <c r="Q369">
        <v>0</v>
      </c>
      <c r="R369">
        <v>0</v>
      </c>
      <c r="S369">
        <v>0</v>
      </c>
      <c r="T369">
        <v>1</v>
      </c>
      <c r="U369">
        <v>0</v>
      </c>
      <c r="V369" s="14" t="s">
        <v>399</v>
      </c>
    </row>
    <row r="370" spans="1:22" ht="14.25" customHeight="1" x14ac:dyDescent="0.25">
      <c r="A370" s="48" t="str">
        <f>LEFT(Tabelle1[[#This Row],[Artikel'#]],4)</f>
        <v>F028</v>
      </c>
      <c r="B370" s="46" t="str">
        <f>MID(Tabelle1[[#This Row],[Artikel'#]],5,3)</f>
        <v>138</v>
      </c>
      <c r="C370" s="48" t="str">
        <f>RIGHT(Tabelle1[[#This Row],[Artikel'#]],3)</f>
        <v>734</v>
      </c>
      <c r="D370" s="46">
        <f>IF(Tabelle1[[#This Row],[Winkel2]]=select!$A$2,1,0)</f>
        <v>0</v>
      </c>
      <c r="E3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0" s="46">
        <f>IF(select!$E$16=IF(Tabelle1[[#This Row],[mit Dämpfung]]=1,1,IF(Tabelle1[[#This Row],[ohne Dämpfung]]=1,2,IF(Tabelle1[[#This Row],[ohne Feder]]=1,3,0))),1,0)</f>
        <v>1</v>
      </c>
      <c r="G370" s="46">
        <f>IF(Tabelle1[[#This Row],[Links]]=select!$I$2,1,0)</f>
        <v>0</v>
      </c>
      <c r="H370" s="46">
        <f>IF(IF(Tabelle1[[#This Row],[Anschrauben]]=1,1,IF(Tabelle1[[#This Row],[Einpressen]]=1,2,IF(Tabelle1[[#This Row],[Werkzeuglos]]=1,3,0)))=select!$E$7,1,0)</f>
        <v>1</v>
      </c>
      <c r="I370" s="46">
        <f ca="1">IF(Tabelle1[[#This Row],[Winkel]]+Tabelle1[[#This Row],[Kröpfung]]+Tabelle1[[#This Row],[Däpfung]]+Tabelle1[[#This Row],[Bohrbild]]+Tabelle1[[#This Row],[Scharnierbefestigung]]=5,1,0)</f>
        <v>0</v>
      </c>
      <c r="J370" t="str">
        <f ca="1">Sprache!$A$55</f>
        <v>TIOMOS hinge TS-Click-on</v>
      </c>
      <c r="K370" t="str">
        <f ca="1">"120°, H-BB, K03, "&amp;Sprache!A59&amp;", ni"</f>
        <v>120°, H-BB, K03, Dowel, ni</v>
      </c>
      <c r="L370" t="str">
        <f ca="1">Sprache!$A$63</f>
        <v>TIOMOS Click-on hinges</v>
      </c>
      <c r="M370">
        <v>3</v>
      </c>
      <c r="N370" t="s">
        <v>14</v>
      </c>
      <c r="O370">
        <v>120</v>
      </c>
      <c r="P370">
        <v>1</v>
      </c>
      <c r="Q370">
        <v>0</v>
      </c>
      <c r="R370">
        <v>0</v>
      </c>
      <c r="S370">
        <v>0</v>
      </c>
      <c r="T370">
        <v>1</v>
      </c>
      <c r="U370">
        <v>0</v>
      </c>
      <c r="V370" s="14" t="s">
        <v>400</v>
      </c>
    </row>
    <row r="371" spans="1:22" ht="14.25" customHeight="1" x14ac:dyDescent="0.25">
      <c r="A371" s="48" t="str">
        <f>LEFT(Tabelle1[[#This Row],[Artikel'#]],4)</f>
        <v>F028</v>
      </c>
      <c r="B371" s="46" t="str">
        <f>MID(Tabelle1[[#This Row],[Artikel'#]],5,3)</f>
        <v>138</v>
      </c>
      <c r="C371" s="48" t="str">
        <f>RIGHT(Tabelle1[[#This Row],[Artikel'#]],3)</f>
        <v>735</v>
      </c>
      <c r="D371" s="46">
        <f>IF(Tabelle1[[#This Row],[Winkel2]]=select!$A$2,1,0)</f>
        <v>0</v>
      </c>
      <c r="E3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71" s="46">
        <f>IF(select!$E$16=IF(Tabelle1[[#This Row],[mit Dämpfung]]=1,1,IF(Tabelle1[[#This Row],[ohne Dämpfung]]=1,2,IF(Tabelle1[[#This Row],[ohne Feder]]=1,3,0))),1,0)</f>
        <v>1</v>
      </c>
      <c r="G371" s="46">
        <f>IF(Tabelle1[[#This Row],[Links]]=select!$I$2,1,0)</f>
        <v>0</v>
      </c>
      <c r="H371" s="46">
        <f>IF(IF(Tabelle1[[#This Row],[Anschrauben]]=1,1,IF(Tabelle1[[#This Row],[Einpressen]]=1,2,IF(Tabelle1[[#This Row],[Werkzeuglos]]=1,3,0)))=select!$E$7,1,0)</f>
        <v>1</v>
      </c>
      <c r="I371" s="46">
        <f ca="1">IF(Tabelle1[[#This Row],[Winkel]]+Tabelle1[[#This Row],[Kröpfung]]+Tabelle1[[#This Row],[Däpfung]]+Tabelle1[[#This Row],[Bohrbild]]+Tabelle1[[#This Row],[Scharnierbefestigung]]=5,1,0)</f>
        <v>0</v>
      </c>
      <c r="J371" t="str">
        <f ca="1">Sprache!$A$55</f>
        <v>TIOMOS hinge TS-Click-on</v>
      </c>
      <c r="K371" t="str">
        <f ca="1">"120°, H-BB, K95, "&amp;Sprache!A59&amp;", ni"</f>
        <v>120°, H-BB, K95, Dowel, ni</v>
      </c>
      <c r="L371" t="str">
        <f ca="1">Sprache!$A$63</f>
        <v>TIOMOS Click-on hinges</v>
      </c>
      <c r="M371">
        <v>9.5</v>
      </c>
      <c r="N371" t="s">
        <v>14</v>
      </c>
      <c r="O371">
        <v>120</v>
      </c>
      <c r="P371">
        <v>1</v>
      </c>
      <c r="Q371">
        <v>0</v>
      </c>
      <c r="R371">
        <v>0</v>
      </c>
      <c r="S371">
        <v>0</v>
      </c>
      <c r="T371">
        <v>1</v>
      </c>
      <c r="U371">
        <v>0</v>
      </c>
      <c r="V371" s="14" t="s">
        <v>401</v>
      </c>
    </row>
    <row r="372" spans="1:22" ht="14.25" customHeight="1" x14ac:dyDescent="0.25">
      <c r="A372" s="48" t="str">
        <f>LEFT(Tabelle1[[#This Row],[Artikel'#]],4)</f>
        <v>F028</v>
      </c>
      <c r="B372" s="46" t="str">
        <f>MID(Tabelle1[[#This Row],[Artikel'#]],5,3)</f>
        <v>138</v>
      </c>
      <c r="C372" s="48" t="str">
        <f>RIGHT(Tabelle1[[#This Row],[Artikel'#]],3)</f>
        <v>743</v>
      </c>
      <c r="D372" s="46">
        <f>IF(Tabelle1[[#This Row],[Winkel2]]=select!$A$2,1,0)</f>
        <v>0</v>
      </c>
      <c r="E3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2" s="46">
        <f>IF(select!$E$16=IF(Tabelle1[[#This Row],[mit Dämpfung]]=1,1,IF(Tabelle1[[#This Row],[ohne Dämpfung]]=1,2,IF(Tabelle1[[#This Row],[ohne Feder]]=1,3,0))),1,0)</f>
        <v>1</v>
      </c>
      <c r="G372" s="46">
        <f>IF(Tabelle1[[#This Row],[Links]]=select!$I$2,1,0)</f>
        <v>0</v>
      </c>
      <c r="H372" s="46">
        <f>IF(IF(Tabelle1[[#This Row],[Anschrauben]]=1,1,IF(Tabelle1[[#This Row],[Einpressen]]=1,2,IF(Tabelle1[[#This Row],[Werkzeuglos]]=1,3,0)))=select!$E$7,1,0)</f>
        <v>0</v>
      </c>
      <c r="I372" s="46">
        <f ca="1">IF(Tabelle1[[#This Row],[Winkel]]+Tabelle1[[#This Row],[Kröpfung]]+Tabelle1[[#This Row],[Däpfung]]+Tabelle1[[#This Row],[Bohrbild]]+Tabelle1[[#This Row],[Scharnierbefestigung]]=5,1,0)</f>
        <v>0</v>
      </c>
      <c r="J372" t="str">
        <f ca="1">Sprache!$A$55</f>
        <v>TIOMOS hinge TS-Click-on</v>
      </c>
      <c r="K372" t="s">
        <v>403</v>
      </c>
      <c r="L372" t="str">
        <f ca="1">Sprache!$A$63</f>
        <v>TIOMOS Click-on hinges</v>
      </c>
      <c r="M372">
        <v>0</v>
      </c>
      <c r="N372" s="13" t="s">
        <v>14</v>
      </c>
      <c r="O372">
        <v>160</v>
      </c>
      <c r="P372">
        <v>1</v>
      </c>
      <c r="Q372">
        <v>0</v>
      </c>
      <c r="R372">
        <v>0</v>
      </c>
      <c r="S372">
        <v>1</v>
      </c>
      <c r="T372">
        <v>0</v>
      </c>
      <c r="U372">
        <v>0</v>
      </c>
      <c r="V372" s="14" t="s">
        <v>402</v>
      </c>
    </row>
    <row r="373" spans="1:22" ht="14.25" customHeight="1" x14ac:dyDescent="0.25">
      <c r="A373" s="48" t="str">
        <f>LEFT(Tabelle1[[#This Row],[Artikel'#]],4)</f>
        <v>F028</v>
      </c>
      <c r="B373" s="46" t="str">
        <f>MID(Tabelle1[[#This Row],[Artikel'#]],5,3)</f>
        <v>138</v>
      </c>
      <c r="C373" s="48" t="str">
        <f>RIGHT(Tabelle1[[#This Row],[Artikel'#]],3)</f>
        <v>744</v>
      </c>
      <c r="D373" s="46">
        <f>IF(Tabelle1[[#This Row],[Winkel2]]=select!$A$2,1,0)</f>
        <v>0</v>
      </c>
      <c r="E3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3" s="46">
        <f>IF(select!$E$16=IF(Tabelle1[[#This Row],[mit Dämpfung]]=1,1,IF(Tabelle1[[#This Row],[ohne Dämpfung]]=1,2,IF(Tabelle1[[#This Row],[ohne Feder]]=1,3,0))),1,0)</f>
        <v>1</v>
      </c>
      <c r="G373" s="46">
        <f>IF(Tabelle1[[#This Row],[Links]]=select!$I$2,1,0)</f>
        <v>0</v>
      </c>
      <c r="H373" s="46">
        <f>IF(IF(Tabelle1[[#This Row],[Anschrauben]]=1,1,IF(Tabelle1[[#This Row],[Einpressen]]=1,2,IF(Tabelle1[[#This Row],[Werkzeuglos]]=1,3,0)))=select!$E$7,1,0)</f>
        <v>0</v>
      </c>
      <c r="I373" s="46">
        <f ca="1">IF(Tabelle1[[#This Row],[Winkel]]+Tabelle1[[#This Row],[Kröpfung]]+Tabelle1[[#This Row],[Däpfung]]+Tabelle1[[#This Row],[Bohrbild]]+Tabelle1[[#This Row],[Scharnierbefestigung]]=5,1,0)</f>
        <v>0</v>
      </c>
      <c r="J373" t="str">
        <f ca="1">Sprache!$A$55</f>
        <v>TIOMOS hinge TS-Click-on</v>
      </c>
      <c r="K373" t="s">
        <v>405</v>
      </c>
      <c r="L373" t="str">
        <f ca="1">Sprache!$A$63</f>
        <v>TIOMOS Click-on hinges</v>
      </c>
      <c r="M373">
        <v>3</v>
      </c>
      <c r="N373" t="s">
        <v>14</v>
      </c>
      <c r="O373">
        <v>160</v>
      </c>
      <c r="P373">
        <v>1</v>
      </c>
      <c r="Q373">
        <v>0</v>
      </c>
      <c r="R373">
        <v>0</v>
      </c>
      <c r="S373">
        <v>1</v>
      </c>
      <c r="T373">
        <v>0</v>
      </c>
      <c r="U373">
        <v>0</v>
      </c>
      <c r="V373" s="14" t="s">
        <v>404</v>
      </c>
    </row>
    <row r="374" spans="1:22" ht="14.25" customHeight="1" x14ac:dyDescent="0.25">
      <c r="A374" s="48" t="str">
        <f>LEFT(Tabelle1[[#This Row],[Artikel'#]],4)</f>
        <v>F028</v>
      </c>
      <c r="B374" s="46" t="str">
        <f>MID(Tabelle1[[#This Row],[Artikel'#]],5,3)</f>
        <v>138</v>
      </c>
      <c r="C374" s="48" t="str">
        <f>RIGHT(Tabelle1[[#This Row],[Artikel'#]],3)</f>
        <v>745</v>
      </c>
      <c r="D374" s="46">
        <f>IF(Tabelle1[[#This Row],[Winkel2]]=select!$A$2,1,0)</f>
        <v>0</v>
      </c>
      <c r="E3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74" s="46">
        <f>IF(select!$E$16=IF(Tabelle1[[#This Row],[mit Dämpfung]]=1,1,IF(Tabelle1[[#This Row],[ohne Dämpfung]]=1,2,IF(Tabelle1[[#This Row],[ohne Feder]]=1,3,0))),1,0)</f>
        <v>1</v>
      </c>
      <c r="G374" s="46">
        <f>IF(Tabelle1[[#This Row],[Links]]=select!$I$2,1,0)</f>
        <v>0</v>
      </c>
      <c r="H374" s="46">
        <f>IF(IF(Tabelle1[[#This Row],[Anschrauben]]=1,1,IF(Tabelle1[[#This Row],[Einpressen]]=1,2,IF(Tabelle1[[#This Row],[Werkzeuglos]]=1,3,0)))=select!$E$7,1,0)</f>
        <v>0</v>
      </c>
      <c r="I374" s="46">
        <f ca="1">IF(Tabelle1[[#This Row],[Winkel]]+Tabelle1[[#This Row],[Kröpfung]]+Tabelle1[[#This Row],[Däpfung]]+Tabelle1[[#This Row],[Bohrbild]]+Tabelle1[[#This Row],[Scharnierbefestigung]]=5,1,0)</f>
        <v>0</v>
      </c>
      <c r="J374" t="str">
        <f ca="1">Sprache!$A$55</f>
        <v>TIOMOS hinge TS-Click-on</v>
      </c>
      <c r="K374" t="s">
        <v>407</v>
      </c>
      <c r="L374" t="str">
        <f ca="1">Sprache!$A$63</f>
        <v>TIOMOS Click-on hinges</v>
      </c>
      <c r="M374">
        <v>9.5</v>
      </c>
      <c r="N374" t="s">
        <v>14</v>
      </c>
      <c r="O374">
        <v>160</v>
      </c>
      <c r="P374">
        <v>1</v>
      </c>
      <c r="Q374">
        <v>0</v>
      </c>
      <c r="R374">
        <v>0</v>
      </c>
      <c r="S374">
        <v>1</v>
      </c>
      <c r="T374">
        <v>0</v>
      </c>
      <c r="U374">
        <v>0</v>
      </c>
      <c r="V374" s="14" t="s">
        <v>406</v>
      </c>
    </row>
    <row r="375" spans="1:22" ht="14.25" customHeight="1" x14ac:dyDescent="0.25">
      <c r="A375" s="48" t="str">
        <f>LEFT(Tabelle1[[#This Row],[Artikel'#]],4)</f>
        <v>F028</v>
      </c>
      <c r="B375" s="46" t="str">
        <f>MID(Tabelle1[[#This Row],[Artikel'#]],5,3)</f>
        <v>138</v>
      </c>
      <c r="C375" s="48" t="str">
        <f>RIGHT(Tabelle1[[#This Row],[Artikel'#]],3)</f>
        <v>746</v>
      </c>
      <c r="D375" s="46">
        <f>IF(Tabelle1[[#This Row],[Winkel2]]=select!$A$2,1,0)</f>
        <v>0</v>
      </c>
      <c r="E3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5" s="46">
        <f>IF(select!$E$16=IF(Tabelle1[[#This Row],[mit Dämpfung]]=1,1,IF(Tabelle1[[#This Row],[ohne Dämpfung]]=1,2,IF(Tabelle1[[#This Row],[ohne Feder]]=1,3,0))),1,0)</f>
        <v>1</v>
      </c>
      <c r="G375" s="46">
        <f>IF(Tabelle1[[#This Row],[Links]]=select!$I$2,1,0)</f>
        <v>0</v>
      </c>
      <c r="H375" s="46">
        <f>IF(IF(Tabelle1[[#This Row],[Anschrauben]]=1,1,IF(Tabelle1[[#This Row],[Einpressen]]=1,2,IF(Tabelle1[[#This Row],[Werkzeuglos]]=1,3,0)))=select!$E$7,1,0)</f>
        <v>1</v>
      </c>
      <c r="I375" s="46">
        <f ca="1">IF(Tabelle1[[#This Row],[Winkel]]+Tabelle1[[#This Row],[Kröpfung]]+Tabelle1[[#This Row],[Däpfung]]+Tabelle1[[#This Row],[Bohrbild]]+Tabelle1[[#This Row],[Scharnierbefestigung]]=5,1,0)</f>
        <v>0</v>
      </c>
      <c r="J375" t="str">
        <f ca="1">Sprache!$A$55</f>
        <v>TIOMOS hinge TS-Click-on</v>
      </c>
      <c r="K375" t="str">
        <f ca="1">"160°, H-BB, K00, "&amp;Sprache!A59&amp;", ni"</f>
        <v>160°, H-BB, K00, Dowel, ni</v>
      </c>
      <c r="L375" t="str">
        <f ca="1">Sprache!$A$63</f>
        <v>TIOMOS Click-on hinges</v>
      </c>
      <c r="M375">
        <v>0</v>
      </c>
      <c r="N375" s="13" t="s">
        <v>14</v>
      </c>
      <c r="O375">
        <v>160</v>
      </c>
      <c r="P375">
        <v>1</v>
      </c>
      <c r="Q375">
        <v>0</v>
      </c>
      <c r="R375">
        <v>0</v>
      </c>
      <c r="S375">
        <v>0</v>
      </c>
      <c r="T375">
        <v>1</v>
      </c>
      <c r="U375">
        <v>0</v>
      </c>
      <c r="V375" s="14" t="s">
        <v>408</v>
      </c>
    </row>
    <row r="376" spans="1:22" ht="14.25" customHeight="1" x14ac:dyDescent="0.25">
      <c r="A376" s="48" t="str">
        <f>LEFT(Tabelle1[[#This Row],[Artikel'#]],4)</f>
        <v>F028</v>
      </c>
      <c r="B376" s="46" t="str">
        <f>MID(Tabelle1[[#This Row],[Artikel'#]],5,3)</f>
        <v>138</v>
      </c>
      <c r="C376" s="48" t="str">
        <f>RIGHT(Tabelle1[[#This Row],[Artikel'#]],3)</f>
        <v>747</v>
      </c>
      <c r="D376" s="46">
        <f>IF(Tabelle1[[#This Row],[Winkel2]]=select!$A$2,1,0)</f>
        <v>0</v>
      </c>
      <c r="E3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6" s="46">
        <f>IF(select!$E$16=IF(Tabelle1[[#This Row],[mit Dämpfung]]=1,1,IF(Tabelle1[[#This Row],[ohne Dämpfung]]=1,2,IF(Tabelle1[[#This Row],[ohne Feder]]=1,3,0))),1,0)</f>
        <v>1</v>
      </c>
      <c r="G376" s="46">
        <f>IF(Tabelle1[[#This Row],[Links]]=select!$I$2,1,0)</f>
        <v>0</v>
      </c>
      <c r="H376" s="46">
        <f>IF(IF(Tabelle1[[#This Row],[Anschrauben]]=1,1,IF(Tabelle1[[#This Row],[Einpressen]]=1,2,IF(Tabelle1[[#This Row],[Werkzeuglos]]=1,3,0)))=select!$E$7,1,0)</f>
        <v>1</v>
      </c>
      <c r="I376" s="46">
        <f ca="1">IF(Tabelle1[[#This Row],[Winkel]]+Tabelle1[[#This Row],[Kröpfung]]+Tabelle1[[#This Row],[Däpfung]]+Tabelle1[[#This Row],[Bohrbild]]+Tabelle1[[#This Row],[Scharnierbefestigung]]=5,1,0)</f>
        <v>0</v>
      </c>
      <c r="J376" t="str">
        <f ca="1">Sprache!$A$55</f>
        <v>TIOMOS hinge TS-Click-on</v>
      </c>
      <c r="K376" t="str">
        <f ca="1">"160°, H-BB, K03, "&amp;Sprache!A59&amp;", ni"</f>
        <v>160°, H-BB, K03, Dowel, ni</v>
      </c>
      <c r="L376" t="str">
        <f ca="1">Sprache!$A$63</f>
        <v>TIOMOS Click-on hinges</v>
      </c>
      <c r="M376">
        <v>3</v>
      </c>
      <c r="N376" t="s">
        <v>14</v>
      </c>
      <c r="O376">
        <v>160</v>
      </c>
      <c r="P376">
        <v>1</v>
      </c>
      <c r="Q376">
        <v>0</v>
      </c>
      <c r="R376">
        <v>0</v>
      </c>
      <c r="S376">
        <v>0</v>
      </c>
      <c r="T376">
        <v>1</v>
      </c>
      <c r="U376">
        <v>0</v>
      </c>
      <c r="V376" s="14" t="s">
        <v>409</v>
      </c>
    </row>
    <row r="377" spans="1:22" ht="14.25" customHeight="1" x14ac:dyDescent="0.25">
      <c r="A377" s="48" t="str">
        <f>LEFT(Tabelle1[[#This Row],[Artikel'#]],4)</f>
        <v>F028</v>
      </c>
      <c r="B377" s="46" t="str">
        <f>MID(Tabelle1[[#This Row],[Artikel'#]],5,3)</f>
        <v>138</v>
      </c>
      <c r="C377" s="48" t="str">
        <f>RIGHT(Tabelle1[[#This Row],[Artikel'#]],3)</f>
        <v>748</v>
      </c>
      <c r="D377" s="46">
        <f>IF(Tabelle1[[#This Row],[Winkel2]]=select!$A$2,1,0)</f>
        <v>0</v>
      </c>
      <c r="E3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77" s="46">
        <f>IF(select!$E$16=IF(Tabelle1[[#This Row],[mit Dämpfung]]=1,1,IF(Tabelle1[[#This Row],[ohne Dämpfung]]=1,2,IF(Tabelle1[[#This Row],[ohne Feder]]=1,3,0))),1,0)</f>
        <v>1</v>
      </c>
      <c r="G377" s="46">
        <f>IF(Tabelle1[[#This Row],[Links]]=select!$I$2,1,0)</f>
        <v>0</v>
      </c>
      <c r="H377" s="46">
        <f>IF(IF(Tabelle1[[#This Row],[Anschrauben]]=1,1,IF(Tabelle1[[#This Row],[Einpressen]]=1,2,IF(Tabelle1[[#This Row],[Werkzeuglos]]=1,3,0)))=select!$E$7,1,0)</f>
        <v>1</v>
      </c>
      <c r="I377" s="46">
        <f ca="1">IF(Tabelle1[[#This Row],[Winkel]]+Tabelle1[[#This Row],[Kröpfung]]+Tabelle1[[#This Row],[Däpfung]]+Tabelle1[[#This Row],[Bohrbild]]+Tabelle1[[#This Row],[Scharnierbefestigung]]=5,1,0)</f>
        <v>0</v>
      </c>
      <c r="J377" t="str">
        <f ca="1">Sprache!$A$55</f>
        <v>TIOMOS hinge TS-Click-on</v>
      </c>
      <c r="K377" t="str">
        <f ca="1">"160°, H-BB, K95, "&amp;Sprache!A59&amp;", ni"</f>
        <v>160°, H-BB, K95, Dowel, ni</v>
      </c>
      <c r="L377" t="str">
        <f ca="1">Sprache!$A$63</f>
        <v>TIOMOS Click-on hinges</v>
      </c>
      <c r="M377">
        <v>9.5</v>
      </c>
      <c r="N377" t="s">
        <v>14</v>
      </c>
      <c r="O377">
        <v>160</v>
      </c>
      <c r="P377">
        <v>1</v>
      </c>
      <c r="Q377">
        <v>0</v>
      </c>
      <c r="R377">
        <v>0</v>
      </c>
      <c r="S377">
        <v>0</v>
      </c>
      <c r="T377">
        <v>1</v>
      </c>
      <c r="U377">
        <v>0</v>
      </c>
      <c r="V377" s="14" t="s">
        <v>410</v>
      </c>
    </row>
    <row r="378" spans="1:22" ht="14.25" customHeight="1" x14ac:dyDescent="0.25">
      <c r="A378" s="48" t="str">
        <f>LEFT(Tabelle1[[#This Row],[Artikel'#]],4)</f>
        <v>F028</v>
      </c>
      <c r="B378" s="46" t="str">
        <f>MID(Tabelle1[[#This Row],[Artikel'#]],5,3)</f>
        <v>138</v>
      </c>
      <c r="C378" s="48" t="str">
        <f>RIGHT(Tabelle1[[#This Row],[Artikel'#]],3)</f>
        <v>749</v>
      </c>
      <c r="D378" s="46">
        <f>IF(Tabelle1[[#This Row],[Winkel2]]=select!$A$2,1,0)</f>
        <v>0</v>
      </c>
      <c r="E3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8" s="46">
        <f>IF(select!$E$16=IF(Tabelle1[[#This Row],[mit Dämpfung]]=1,1,IF(Tabelle1[[#This Row],[ohne Dämpfung]]=1,2,IF(Tabelle1[[#This Row],[ohne Feder]]=1,3,0))),1,0)</f>
        <v>1</v>
      </c>
      <c r="G378" s="46">
        <f>IF(Tabelle1[[#This Row],[Links]]=select!$I$2,1,0)</f>
        <v>0</v>
      </c>
      <c r="H378" s="46">
        <f>IF(IF(Tabelle1[[#This Row],[Anschrauben]]=1,1,IF(Tabelle1[[#This Row],[Einpressen]]=1,2,IF(Tabelle1[[#This Row],[Werkzeuglos]]=1,3,0)))=select!$E$7,1,0)</f>
        <v>0</v>
      </c>
      <c r="I378" s="46">
        <f ca="1">IF(Tabelle1[[#This Row],[Winkel]]+Tabelle1[[#This Row],[Kröpfung]]+Tabelle1[[#This Row],[Däpfung]]+Tabelle1[[#This Row],[Bohrbild]]+Tabelle1[[#This Row],[Scharnierbefestigung]]=5,1,0)</f>
        <v>0</v>
      </c>
      <c r="J378" t="str">
        <f ca="1">Sprache!$A$55</f>
        <v>TIOMOS hinge TS-Click-on</v>
      </c>
      <c r="K378" t="s">
        <v>412</v>
      </c>
      <c r="L378" t="str">
        <f ca="1">Sprache!$A$63</f>
        <v>TIOMOS Click-on hinges</v>
      </c>
      <c r="M378">
        <v>0</v>
      </c>
      <c r="N378" t="s">
        <v>14</v>
      </c>
      <c r="O378">
        <v>95</v>
      </c>
      <c r="P378">
        <v>1</v>
      </c>
      <c r="Q378">
        <v>0</v>
      </c>
      <c r="R378">
        <v>0</v>
      </c>
      <c r="S378">
        <v>1</v>
      </c>
      <c r="T378">
        <v>0</v>
      </c>
      <c r="U378">
        <v>0</v>
      </c>
      <c r="V378" s="14" t="s">
        <v>411</v>
      </c>
    </row>
    <row r="379" spans="1:22" ht="14.25" customHeight="1" x14ac:dyDescent="0.25">
      <c r="A379" s="48" t="str">
        <f>LEFT(Tabelle1[[#This Row],[Artikel'#]],4)</f>
        <v>F028</v>
      </c>
      <c r="B379" s="46" t="str">
        <f>MID(Tabelle1[[#This Row],[Artikel'#]],5,3)</f>
        <v>138</v>
      </c>
      <c r="C379" s="48" t="str">
        <f>RIGHT(Tabelle1[[#This Row],[Artikel'#]],3)</f>
        <v>750</v>
      </c>
      <c r="D379" s="46">
        <f>IF(Tabelle1[[#This Row],[Winkel2]]=select!$A$2,1,0)</f>
        <v>0</v>
      </c>
      <c r="E3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79" s="46">
        <f>IF(select!$E$16=IF(Tabelle1[[#This Row],[mit Dämpfung]]=1,1,IF(Tabelle1[[#This Row],[ohne Dämpfung]]=1,2,IF(Tabelle1[[#This Row],[ohne Feder]]=1,3,0))),1,0)</f>
        <v>1</v>
      </c>
      <c r="G379" s="46">
        <f>IF(Tabelle1[[#This Row],[Links]]=select!$I$2,1,0)</f>
        <v>0</v>
      </c>
      <c r="H379" s="46">
        <f>IF(IF(Tabelle1[[#This Row],[Anschrauben]]=1,1,IF(Tabelle1[[#This Row],[Einpressen]]=1,2,IF(Tabelle1[[#This Row],[Werkzeuglos]]=1,3,0)))=select!$E$7,1,0)</f>
        <v>0</v>
      </c>
      <c r="I379" s="46">
        <f ca="1">IF(Tabelle1[[#This Row],[Winkel]]+Tabelle1[[#This Row],[Kröpfung]]+Tabelle1[[#This Row],[Däpfung]]+Tabelle1[[#This Row],[Bohrbild]]+Tabelle1[[#This Row],[Scharnierbefestigung]]=5,1,0)</f>
        <v>0</v>
      </c>
      <c r="J379" t="str">
        <f ca="1">Sprache!$A$55</f>
        <v>TIOMOS hinge TS-Click-on</v>
      </c>
      <c r="K379" t="s">
        <v>414</v>
      </c>
      <c r="L379" t="str">
        <f ca="1">Sprache!$A$63</f>
        <v>TIOMOS Click-on hinges</v>
      </c>
      <c r="M379">
        <v>3</v>
      </c>
      <c r="N379" t="s">
        <v>14</v>
      </c>
      <c r="O379">
        <v>95</v>
      </c>
      <c r="P379">
        <v>1</v>
      </c>
      <c r="Q379">
        <v>0</v>
      </c>
      <c r="R379">
        <v>0</v>
      </c>
      <c r="S379">
        <v>1</v>
      </c>
      <c r="T379">
        <v>0</v>
      </c>
      <c r="U379">
        <v>0</v>
      </c>
      <c r="V379" s="14" t="s">
        <v>413</v>
      </c>
    </row>
    <row r="380" spans="1:22" ht="14.25" customHeight="1" x14ac:dyDescent="0.25">
      <c r="A380" s="48" t="str">
        <f>LEFT(Tabelle1[[#This Row],[Artikel'#]],4)</f>
        <v>F028</v>
      </c>
      <c r="B380" s="46" t="str">
        <f>MID(Tabelle1[[#This Row],[Artikel'#]],5,3)</f>
        <v>138</v>
      </c>
      <c r="C380" s="48" t="str">
        <f>RIGHT(Tabelle1[[#This Row],[Artikel'#]],3)</f>
        <v>751</v>
      </c>
      <c r="D380" s="46">
        <f>IF(Tabelle1[[#This Row],[Winkel2]]=select!$A$2,1,0)</f>
        <v>0</v>
      </c>
      <c r="E3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80" s="46">
        <f>IF(select!$E$16=IF(Tabelle1[[#This Row],[mit Dämpfung]]=1,1,IF(Tabelle1[[#This Row],[ohne Dämpfung]]=1,2,IF(Tabelle1[[#This Row],[ohne Feder]]=1,3,0))),1,0)</f>
        <v>1</v>
      </c>
      <c r="G380" s="46">
        <f>IF(Tabelle1[[#This Row],[Links]]=select!$I$2,1,0)</f>
        <v>0</v>
      </c>
      <c r="H380" s="46">
        <f>IF(IF(Tabelle1[[#This Row],[Anschrauben]]=1,1,IF(Tabelle1[[#This Row],[Einpressen]]=1,2,IF(Tabelle1[[#This Row],[Werkzeuglos]]=1,3,0)))=select!$E$7,1,0)</f>
        <v>0</v>
      </c>
      <c r="I380" s="46">
        <f ca="1">IF(Tabelle1[[#This Row],[Winkel]]+Tabelle1[[#This Row],[Kröpfung]]+Tabelle1[[#This Row],[Däpfung]]+Tabelle1[[#This Row],[Bohrbild]]+Tabelle1[[#This Row],[Scharnierbefestigung]]=5,1,0)</f>
        <v>0</v>
      </c>
      <c r="J380" t="str">
        <f ca="1">Sprache!$A$55</f>
        <v>TIOMOS hinge TS-Click-on</v>
      </c>
      <c r="K380" t="s">
        <v>416</v>
      </c>
      <c r="L380" t="str">
        <f ca="1">Sprache!$A$63</f>
        <v>TIOMOS Click-on hinges</v>
      </c>
      <c r="M380">
        <v>9.5</v>
      </c>
      <c r="N380" t="s">
        <v>14</v>
      </c>
      <c r="O380">
        <v>95</v>
      </c>
      <c r="P380">
        <v>1</v>
      </c>
      <c r="Q380">
        <v>0</v>
      </c>
      <c r="R380">
        <v>0</v>
      </c>
      <c r="S380">
        <v>1</v>
      </c>
      <c r="T380">
        <v>0</v>
      </c>
      <c r="U380">
        <v>0</v>
      </c>
      <c r="V380" s="14" t="s">
        <v>415</v>
      </c>
    </row>
    <row r="381" spans="1:22" ht="14.25" customHeight="1" x14ac:dyDescent="0.25">
      <c r="A381" s="48" t="str">
        <f>LEFT(Tabelle1[[#This Row],[Artikel'#]],4)</f>
        <v>F028</v>
      </c>
      <c r="B381" s="46" t="str">
        <f>MID(Tabelle1[[#This Row],[Artikel'#]],5,3)</f>
        <v>138</v>
      </c>
      <c r="C381" s="48" t="str">
        <f>RIGHT(Tabelle1[[#This Row],[Artikel'#]],3)</f>
        <v>752</v>
      </c>
      <c r="D381" s="46">
        <f>IF(Tabelle1[[#This Row],[Winkel2]]=select!$A$2,1,0)</f>
        <v>0</v>
      </c>
      <c r="E3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1" s="46">
        <f>IF(select!$E$16=IF(Tabelle1[[#This Row],[mit Dämpfung]]=1,1,IF(Tabelle1[[#This Row],[ohne Dämpfung]]=1,2,IF(Tabelle1[[#This Row],[ohne Feder]]=1,3,0))),1,0)</f>
        <v>1</v>
      </c>
      <c r="G381" s="46">
        <f>IF(Tabelle1[[#This Row],[Links]]=select!$I$2,1,0)</f>
        <v>0</v>
      </c>
      <c r="H381" s="46">
        <f>IF(IF(Tabelle1[[#This Row],[Anschrauben]]=1,1,IF(Tabelle1[[#This Row],[Einpressen]]=1,2,IF(Tabelle1[[#This Row],[Werkzeuglos]]=1,3,0)))=select!$E$7,1,0)</f>
        <v>0</v>
      </c>
      <c r="I381" s="46">
        <f ca="1">IF(Tabelle1[[#This Row],[Winkel]]+Tabelle1[[#This Row],[Kröpfung]]+Tabelle1[[#This Row],[Däpfung]]+Tabelle1[[#This Row],[Bohrbild]]+Tabelle1[[#This Row],[Scharnierbefestigung]]=5,1,0)</f>
        <v>0</v>
      </c>
      <c r="J381" t="str">
        <f ca="1">Sprache!$A$55</f>
        <v>TIOMOS hinge TS-Click-on</v>
      </c>
      <c r="K381" t="s">
        <v>418</v>
      </c>
      <c r="L381" t="str">
        <f ca="1">Sprache!$A$63</f>
        <v>TIOMOS Click-on hinges</v>
      </c>
      <c r="M381">
        <v>19</v>
      </c>
      <c r="N381" t="s">
        <v>14</v>
      </c>
      <c r="O381">
        <v>95</v>
      </c>
      <c r="P381">
        <v>1</v>
      </c>
      <c r="Q381">
        <v>0</v>
      </c>
      <c r="R381">
        <v>0</v>
      </c>
      <c r="S381">
        <v>1</v>
      </c>
      <c r="T381">
        <v>0</v>
      </c>
      <c r="U381">
        <v>0</v>
      </c>
      <c r="V381" s="14" t="s">
        <v>417</v>
      </c>
    </row>
    <row r="382" spans="1:22" ht="14.25" customHeight="1" x14ac:dyDescent="0.25">
      <c r="A382" s="48" t="str">
        <f>LEFT(Tabelle1[[#This Row],[Artikel'#]],4)</f>
        <v>F028</v>
      </c>
      <c r="B382" s="46" t="str">
        <f>MID(Tabelle1[[#This Row],[Artikel'#]],5,3)</f>
        <v>138</v>
      </c>
      <c r="C382" s="48" t="str">
        <f>RIGHT(Tabelle1[[#This Row],[Artikel'#]],3)</f>
        <v>753</v>
      </c>
      <c r="D382" s="46">
        <f>IF(Tabelle1[[#This Row],[Winkel2]]=select!$A$2,1,0)</f>
        <v>0</v>
      </c>
      <c r="E3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2" s="46">
        <f>IF(select!$E$16=IF(Tabelle1[[#This Row],[mit Dämpfung]]=1,1,IF(Tabelle1[[#This Row],[ohne Dämpfung]]=1,2,IF(Tabelle1[[#This Row],[ohne Feder]]=1,3,0))),1,0)</f>
        <v>1</v>
      </c>
      <c r="G382" s="46">
        <f>IF(Tabelle1[[#This Row],[Links]]=select!$I$2,1,0)</f>
        <v>0</v>
      </c>
      <c r="H382" s="46">
        <f>IF(IF(Tabelle1[[#This Row],[Anschrauben]]=1,1,IF(Tabelle1[[#This Row],[Einpressen]]=1,2,IF(Tabelle1[[#This Row],[Werkzeuglos]]=1,3,0)))=select!$E$7,1,0)</f>
        <v>1</v>
      </c>
      <c r="I382" s="46">
        <f ca="1">IF(Tabelle1[[#This Row],[Winkel]]+Tabelle1[[#This Row],[Kröpfung]]+Tabelle1[[#This Row],[Däpfung]]+Tabelle1[[#This Row],[Bohrbild]]+Tabelle1[[#This Row],[Scharnierbefestigung]]=5,1,0)</f>
        <v>0</v>
      </c>
      <c r="J382" t="str">
        <f ca="1">Sprache!$A$55</f>
        <v>TIOMOS hinge TS-Click-on</v>
      </c>
      <c r="K382" t="str">
        <f ca="1">"95°, H-BB, K00, "&amp;Sprache!A59&amp;", ni"</f>
        <v>95°, H-BB, K00, Dowel, ni</v>
      </c>
      <c r="L382" t="str">
        <f ca="1">Sprache!$A$63</f>
        <v>TIOMOS Click-on hinges</v>
      </c>
      <c r="M382">
        <v>0</v>
      </c>
      <c r="N382" t="s">
        <v>14</v>
      </c>
      <c r="O382">
        <v>95</v>
      </c>
      <c r="P382">
        <v>1</v>
      </c>
      <c r="Q382">
        <v>0</v>
      </c>
      <c r="R382">
        <v>0</v>
      </c>
      <c r="S382">
        <v>0</v>
      </c>
      <c r="T382">
        <v>1</v>
      </c>
      <c r="U382">
        <v>0</v>
      </c>
      <c r="V382" s="14" t="s">
        <v>419</v>
      </c>
    </row>
    <row r="383" spans="1:22" ht="14.25" customHeight="1" x14ac:dyDescent="0.25">
      <c r="A383" s="48" t="str">
        <f>LEFT(Tabelle1[[#This Row],[Artikel'#]],4)</f>
        <v>F028</v>
      </c>
      <c r="B383" s="46" t="str">
        <f>MID(Tabelle1[[#This Row],[Artikel'#]],5,3)</f>
        <v>138</v>
      </c>
      <c r="C383" s="48" t="str">
        <f>RIGHT(Tabelle1[[#This Row],[Artikel'#]],3)</f>
        <v>754</v>
      </c>
      <c r="D383" s="46">
        <f>IF(Tabelle1[[#This Row],[Winkel2]]=select!$A$2,1,0)</f>
        <v>0</v>
      </c>
      <c r="E3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3" s="46">
        <f>IF(select!$E$16=IF(Tabelle1[[#This Row],[mit Dämpfung]]=1,1,IF(Tabelle1[[#This Row],[ohne Dämpfung]]=1,2,IF(Tabelle1[[#This Row],[ohne Feder]]=1,3,0))),1,0)</f>
        <v>1</v>
      </c>
      <c r="G383" s="46">
        <f>IF(Tabelle1[[#This Row],[Links]]=select!$I$2,1,0)</f>
        <v>0</v>
      </c>
      <c r="H383" s="46">
        <f>IF(IF(Tabelle1[[#This Row],[Anschrauben]]=1,1,IF(Tabelle1[[#This Row],[Einpressen]]=1,2,IF(Tabelle1[[#This Row],[Werkzeuglos]]=1,3,0)))=select!$E$7,1,0)</f>
        <v>1</v>
      </c>
      <c r="I383" s="46">
        <f ca="1">IF(Tabelle1[[#This Row],[Winkel]]+Tabelle1[[#This Row],[Kröpfung]]+Tabelle1[[#This Row],[Däpfung]]+Tabelle1[[#This Row],[Bohrbild]]+Tabelle1[[#This Row],[Scharnierbefestigung]]=5,1,0)</f>
        <v>0</v>
      </c>
      <c r="J383" t="str">
        <f ca="1">Sprache!$A$55</f>
        <v>TIOMOS hinge TS-Click-on</v>
      </c>
      <c r="K383" t="str">
        <f ca="1">"95°, H-BB, K03, "&amp;Sprache!A59&amp;", ni"</f>
        <v>95°, H-BB, K03, Dowel, ni</v>
      </c>
      <c r="L383" t="str">
        <f ca="1">Sprache!$A$63</f>
        <v>TIOMOS Click-on hinges</v>
      </c>
      <c r="M383">
        <v>3</v>
      </c>
      <c r="N383" t="s">
        <v>14</v>
      </c>
      <c r="O383">
        <v>95</v>
      </c>
      <c r="P383">
        <v>1</v>
      </c>
      <c r="Q383">
        <v>0</v>
      </c>
      <c r="R383">
        <v>0</v>
      </c>
      <c r="S383">
        <v>0</v>
      </c>
      <c r="T383">
        <v>1</v>
      </c>
      <c r="U383">
        <v>0</v>
      </c>
      <c r="V383" s="14" t="s">
        <v>420</v>
      </c>
    </row>
    <row r="384" spans="1:22" ht="14.25" customHeight="1" x14ac:dyDescent="0.25">
      <c r="A384" s="48" t="str">
        <f>LEFT(Tabelle1[[#This Row],[Artikel'#]],4)</f>
        <v>F028</v>
      </c>
      <c r="B384" s="46" t="str">
        <f>MID(Tabelle1[[#This Row],[Artikel'#]],5,3)</f>
        <v>138</v>
      </c>
      <c r="C384" s="48" t="str">
        <f>RIGHT(Tabelle1[[#This Row],[Artikel'#]],3)</f>
        <v>755</v>
      </c>
      <c r="D384" s="46">
        <f>IF(Tabelle1[[#This Row],[Winkel2]]=select!$A$2,1,0)</f>
        <v>0</v>
      </c>
      <c r="E3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84" s="46">
        <f>IF(select!$E$16=IF(Tabelle1[[#This Row],[mit Dämpfung]]=1,1,IF(Tabelle1[[#This Row],[ohne Dämpfung]]=1,2,IF(Tabelle1[[#This Row],[ohne Feder]]=1,3,0))),1,0)</f>
        <v>1</v>
      </c>
      <c r="G384" s="46">
        <f>IF(Tabelle1[[#This Row],[Links]]=select!$I$2,1,0)</f>
        <v>0</v>
      </c>
      <c r="H384" s="46">
        <f>IF(IF(Tabelle1[[#This Row],[Anschrauben]]=1,1,IF(Tabelle1[[#This Row],[Einpressen]]=1,2,IF(Tabelle1[[#This Row],[Werkzeuglos]]=1,3,0)))=select!$E$7,1,0)</f>
        <v>1</v>
      </c>
      <c r="I384" s="46">
        <f ca="1">IF(Tabelle1[[#This Row],[Winkel]]+Tabelle1[[#This Row],[Kröpfung]]+Tabelle1[[#This Row],[Däpfung]]+Tabelle1[[#This Row],[Bohrbild]]+Tabelle1[[#This Row],[Scharnierbefestigung]]=5,1,0)</f>
        <v>0</v>
      </c>
      <c r="J384" t="str">
        <f ca="1">Sprache!$A$55</f>
        <v>TIOMOS hinge TS-Click-on</v>
      </c>
      <c r="K384" t="str">
        <f ca="1">"95°, H-BB, K95, "&amp;Sprache!A59&amp;", ni"</f>
        <v>95°, H-BB, K95, Dowel, ni</v>
      </c>
      <c r="L384" t="str">
        <f ca="1">Sprache!$A$63</f>
        <v>TIOMOS Click-on hinges</v>
      </c>
      <c r="M384">
        <v>9.5</v>
      </c>
      <c r="N384" t="s">
        <v>14</v>
      </c>
      <c r="O384">
        <v>95</v>
      </c>
      <c r="P384">
        <v>1</v>
      </c>
      <c r="Q384">
        <v>0</v>
      </c>
      <c r="R384">
        <v>0</v>
      </c>
      <c r="S384">
        <v>0</v>
      </c>
      <c r="T384">
        <v>1</v>
      </c>
      <c r="U384">
        <v>0</v>
      </c>
      <c r="V384" s="14" t="s">
        <v>421</v>
      </c>
    </row>
    <row r="385" spans="1:22" ht="14.25" customHeight="1" x14ac:dyDescent="0.25">
      <c r="A385" s="48" t="str">
        <f>LEFT(Tabelle1[[#This Row],[Artikel'#]],4)</f>
        <v>F028</v>
      </c>
      <c r="B385" s="46" t="str">
        <f>MID(Tabelle1[[#This Row],[Artikel'#]],5,3)</f>
        <v>138</v>
      </c>
      <c r="C385" s="48" t="str">
        <f>RIGHT(Tabelle1[[#This Row],[Artikel'#]],3)</f>
        <v>756</v>
      </c>
      <c r="D385" s="46">
        <f>IF(Tabelle1[[#This Row],[Winkel2]]=select!$A$2,1,0)</f>
        <v>0</v>
      </c>
      <c r="E3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5" s="46">
        <f>IF(select!$E$16=IF(Tabelle1[[#This Row],[mit Dämpfung]]=1,1,IF(Tabelle1[[#This Row],[ohne Dämpfung]]=1,2,IF(Tabelle1[[#This Row],[ohne Feder]]=1,3,0))),1,0)</f>
        <v>1</v>
      </c>
      <c r="G385" s="46">
        <f>IF(Tabelle1[[#This Row],[Links]]=select!$I$2,1,0)</f>
        <v>0</v>
      </c>
      <c r="H385" s="46">
        <f>IF(IF(Tabelle1[[#This Row],[Anschrauben]]=1,1,IF(Tabelle1[[#This Row],[Einpressen]]=1,2,IF(Tabelle1[[#This Row],[Werkzeuglos]]=1,3,0)))=select!$E$7,1,0)</f>
        <v>1</v>
      </c>
      <c r="I385" s="46">
        <f ca="1">IF(Tabelle1[[#This Row],[Winkel]]+Tabelle1[[#This Row],[Kröpfung]]+Tabelle1[[#This Row],[Däpfung]]+Tabelle1[[#This Row],[Bohrbild]]+Tabelle1[[#This Row],[Scharnierbefestigung]]=5,1,0)</f>
        <v>0</v>
      </c>
      <c r="J385" t="str">
        <f ca="1">Sprache!$A$55</f>
        <v>TIOMOS hinge TS-Click-on</v>
      </c>
      <c r="K385" t="str">
        <f ca="1">"95°, H-BB, K19, "&amp;Sprache!A59&amp;", ni"</f>
        <v>95°, H-BB, K19, Dowel, ni</v>
      </c>
      <c r="L385" t="str">
        <f ca="1">Sprache!$A$63</f>
        <v>TIOMOS Click-on hinges</v>
      </c>
      <c r="M385">
        <v>19</v>
      </c>
      <c r="N385" t="s">
        <v>14</v>
      </c>
      <c r="O385">
        <v>95</v>
      </c>
      <c r="P385">
        <v>1</v>
      </c>
      <c r="Q385">
        <v>0</v>
      </c>
      <c r="R385">
        <v>0</v>
      </c>
      <c r="S385">
        <v>0</v>
      </c>
      <c r="T385">
        <v>1</v>
      </c>
      <c r="U385">
        <v>0</v>
      </c>
      <c r="V385" s="14" t="s">
        <v>422</v>
      </c>
    </row>
    <row r="386" spans="1:22" ht="14.25" customHeight="1" x14ac:dyDescent="0.25">
      <c r="A386" s="48" t="str">
        <f>LEFT(Tabelle1[[#This Row],[Artikel'#]],4)</f>
        <v>F028</v>
      </c>
      <c r="B386" s="46" t="str">
        <f>MID(Tabelle1[[#This Row],[Artikel'#]],5,3)</f>
        <v>138</v>
      </c>
      <c r="C386" s="48" t="str">
        <f>RIGHT(Tabelle1[[#This Row],[Artikel'#]],3)</f>
        <v>883</v>
      </c>
      <c r="D386" s="46">
        <f>IF(Tabelle1[[#This Row],[Winkel2]]=select!$A$2,1,0)</f>
        <v>1</v>
      </c>
      <c r="E3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6" s="46">
        <f>IF(select!$E$16=IF(Tabelle1[[#This Row],[mit Dämpfung]]=1,1,IF(Tabelle1[[#This Row],[ohne Dämpfung]]=1,2,IF(Tabelle1[[#This Row],[ohne Feder]]=1,3,0))),1,0)</f>
        <v>1</v>
      </c>
      <c r="G386" s="46">
        <f>IF(Tabelle1[[#This Row],[Links]]=select!$I$2,1,0)</f>
        <v>0</v>
      </c>
      <c r="H386" s="46">
        <f>IF(IF(Tabelle1[[#This Row],[Anschrauben]]=1,1,IF(Tabelle1[[#This Row],[Einpressen]]=1,2,IF(Tabelle1[[#This Row],[Werkzeuglos]]=1,3,0)))=select!$E$7,1,0)</f>
        <v>0</v>
      </c>
      <c r="I386" s="46">
        <f ca="1">IF(Tabelle1[[#This Row],[Winkel]]+Tabelle1[[#This Row],[Kröpfung]]+Tabelle1[[#This Row],[Däpfung]]+Tabelle1[[#This Row],[Bohrbild]]+Tabelle1[[#This Row],[Scharnierbefestigung]]=5,1,0)</f>
        <v>0</v>
      </c>
      <c r="J386" t="str">
        <f ca="1">Sprache!$A$55</f>
        <v>TIOMOS hinge TS-Click-on</v>
      </c>
      <c r="K386" t="s">
        <v>424</v>
      </c>
      <c r="L386" t="str">
        <f ca="1">Sprache!$A$63</f>
        <v>TIOMOS Click-on hinges</v>
      </c>
      <c r="M386">
        <v>0</v>
      </c>
      <c r="N386" t="s">
        <v>15</v>
      </c>
      <c r="O386">
        <v>110</v>
      </c>
      <c r="P386">
        <v>1</v>
      </c>
      <c r="Q386">
        <v>0</v>
      </c>
      <c r="R386">
        <v>0</v>
      </c>
      <c r="S386">
        <v>1</v>
      </c>
      <c r="T386">
        <v>0</v>
      </c>
      <c r="U386">
        <v>0</v>
      </c>
      <c r="V386" s="14" t="s">
        <v>423</v>
      </c>
    </row>
    <row r="387" spans="1:22" ht="14.25" customHeight="1" x14ac:dyDescent="0.25">
      <c r="A387" s="48" t="str">
        <f>LEFT(Tabelle1[[#This Row],[Artikel'#]],4)</f>
        <v>F028</v>
      </c>
      <c r="B387" s="46" t="str">
        <f>MID(Tabelle1[[#This Row],[Artikel'#]],5,3)</f>
        <v>138</v>
      </c>
      <c r="C387" s="48" t="str">
        <f>RIGHT(Tabelle1[[#This Row],[Artikel'#]],3)</f>
        <v>884</v>
      </c>
      <c r="D387" s="46">
        <f>IF(Tabelle1[[#This Row],[Winkel2]]=select!$A$2,1,0)</f>
        <v>1</v>
      </c>
      <c r="E3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7" s="46">
        <f>IF(select!$E$16=IF(Tabelle1[[#This Row],[mit Dämpfung]]=1,1,IF(Tabelle1[[#This Row],[ohne Dämpfung]]=1,2,IF(Tabelle1[[#This Row],[ohne Feder]]=1,3,0))),1,0)</f>
        <v>1</v>
      </c>
      <c r="G387" s="46">
        <f>IF(Tabelle1[[#This Row],[Links]]=select!$I$2,1,0)</f>
        <v>0</v>
      </c>
      <c r="H387" s="46">
        <f>IF(IF(Tabelle1[[#This Row],[Anschrauben]]=1,1,IF(Tabelle1[[#This Row],[Einpressen]]=1,2,IF(Tabelle1[[#This Row],[Werkzeuglos]]=1,3,0)))=select!$E$7,1,0)</f>
        <v>0</v>
      </c>
      <c r="I387" s="46">
        <f ca="1">IF(Tabelle1[[#This Row],[Winkel]]+Tabelle1[[#This Row],[Kröpfung]]+Tabelle1[[#This Row],[Däpfung]]+Tabelle1[[#This Row],[Bohrbild]]+Tabelle1[[#This Row],[Scharnierbefestigung]]=5,1,0)</f>
        <v>0</v>
      </c>
      <c r="J387" t="str">
        <f ca="1">Sprache!$A$55</f>
        <v>TIOMOS hinge TS-Click-on</v>
      </c>
      <c r="K387" t="s">
        <v>426</v>
      </c>
      <c r="L387" t="str">
        <f ca="1">Sprache!$A$63</f>
        <v>TIOMOS Click-on hinges</v>
      </c>
      <c r="M387">
        <v>3</v>
      </c>
      <c r="N387" t="s">
        <v>15</v>
      </c>
      <c r="O387">
        <v>110</v>
      </c>
      <c r="P387">
        <v>1</v>
      </c>
      <c r="Q387">
        <v>0</v>
      </c>
      <c r="R387">
        <v>0</v>
      </c>
      <c r="S387">
        <v>1</v>
      </c>
      <c r="T387">
        <v>0</v>
      </c>
      <c r="U387">
        <v>0</v>
      </c>
      <c r="V387" s="14" t="s">
        <v>425</v>
      </c>
    </row>
    <row r="388" spans="1:22" ht="14.25" customHeight="1" x14ac:dyDescent="0.25">
      <c r="A388" s="48" t="str">
        <f>LEFT(Tabelle1[[#This Row],[Artikel'#]],4)</f>
        <v>F028</v>
      </c>
      <c r="B388" s="46" t="str">
        <f>MID(Tabelle1[[#This Row],[Artikel'#]],5,3)</f>
        <v>138</v>
      </c>
      <c r="C388" s="48" t="str">
        <f>RIGHT(Tabelle1[[#This Row],[Artikel'#]],3)</f>
        <v>885</v>
      </c>
      <c r="D388" s="46">
        <f>IF(Tabelle1[[#This Row],[Winkel2]]=select!$A$2,1,0)</f>
        <v>1</v>
      </c>
      <c r="E3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88" s="46">
        <f>IF(select!$E$16=IF(Tabelle1[[#This Row],[mit Dämpfung]]=1,1,IF(Tabelle1[[#This Row],[ohne Dämpfung]]=1,2,IF(Tabelle1[[#This Row],[ohne Feder]]=1,3,0))),1,0)</f>
        <v>1</v>
      </c>
      <c r="G388" s="46">
        <f>IF(Tabelle1[[#This Row],[Links]]=select!$I$2,1,0)</f>
        <v>0</v>
      </c>
      <c r="H388" s="46">
        <f>IF(IF(Tabelle1[[#This Row],[Anschrauben]]=1,1,IF(Tabelle1[[#This Row],[Einpressen]]=1,2,IF(Tabelle1[[#This Row],[Werkzeuglos]]=1,3,0)))=select!$E$7,1,0)</f>
        <v>0</v>
      </c>
      <c r="I388" s="46">
        <f ca="1">IF(Tabelle1[[#This Row],[Winkel]]+Tabelle1[[#This Row],[Kröpfung]]+Tabelle1[[#This Row],[Däpfung]]+Tabelle1[[#This Row],[Bohrbild]]+Tabelle1[[#This Row],[Scharnierbefestigung]]=5,1,0)</f>
        <v>0</v>
      </c>
      <c r="J388" t="str">
        <f ca="1">Sprache!$A$55</f>
        <v>TIOMOS hinge TS-Click-on</v>
      </c>
      <c r="K388" t="s">
        <v>428</v>
      </c>
      <c r="L388" t="str">
        <f ca="1">Sprache!$A$63</f>
        <v>TIOMOS Click-on hinges</v>
      </c>
      <c r="M388">
        <v>9.5</v>
      </c>
      <c r="N388" t="s">
        <v>15</v>
      </c>
      <c r="O388">
        <v>110</v>
      </c>
      <c r="P388">
        <v>1</v>
      </c>
      <c r="Q388">
        <v>0</v>
      </c>
      <c r="R388">
        <v>0</v>
      </c>
      <c r="S388">
        <v>1</v>
      </c>
      <c r="T388">
        <v>0</v>
      </c>
      <c r="U388">
        <v>0</v>
      </c>
      <c r="V388" s="14" t="s">
        <v>427</v>
      </c>
    </row>
    <row r="389" spans="1:22" ht="14.25" customHeight="1" x14ac:dyDescent="0.25">
      <c r="A389" s="48" t="str">
        <f>LEFT(Tabelle1[[#This Row],[Artikel'#]],4)</f>
        <v>F028</v>
      </c>
      <c r="B389" s="46" t="str">
        <f>MID(Tabelle1[[#This Row],[Artikel'#]],5,3)</f>
        <v>138</v>
      </c>
      <c r="C389" s="48" t="str">
        <f>RIGHT(Tabelle1[[#This Row],[Artikel'#]],3)</f>
        <v>886</v>
      </c>
      <c r="D389" s="46">
        <f>IF(Tabelle1[[#This Row],[Winkel2]]=select!$A$2,1,0)</f>
        <v>1</v>
      </c>
      <c r="E3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89" s="46">
        <f>IF(select!$E$16=IF(Tabelle1[[#This Row],[mit Dämpfung]]=1,1,IF(Tabelle1[[#This Row],[ohne Dämpfung]]=1,2,IF(Tabelle1[[#This Row],[ohne Feder]]=1,3,0))),1,0)</f>
        <v>1</v>
      </c>
      <c r="G389" s="46">
        <f>IF(Tabelle1[[#This Row],[Links]]=select!$I$2,1,0)</f>
        <v>0</v>
      </c>
      <c r="H389" s="46">
        <f>IF(IF(Tabelle1[[#This Row],[Anschrauben]]=1,1,IF(Tabelle1[[#This Row],[Einpressen]]=1,2,IF(Tabelle1[[#This Row],[Werkzeuglos]]=1,3,0)))=select!$E$7,1,0)</f>
        <v>0</v>
      </c>
      <c r="I389" s="46">
        <f ca="1">IF(Tabelle1[[#This Row],[Winkel]]+Tabelle1[[#This Row],[Kröpfung]]+Tabelle1[[#This Row],[Däpfung]]+Tabelle1[[#This Row],[Bohrbild]]+Tabelle1[[#This Row],[Scharnierbefestigung]]=5,1,0)</f>
        <v>0</v>
      </c>
      <c r="J389" t="str">
        <f ca="1">Sprache!$A$55</f>
        <v>TIOMOS hinge TS-Click-on</v>
      </c>
      <c r="K389" t="s">
        <v>430</v>
      </c>
      <c r="L389" t="str">
        <f ca="1">Sprache!$A$63</f>
        <v>TIOMOS Click-on hinges</v>
      </c>
      <c r="M389">
        <v>19</v>
      </c>
      <c r="N389" t="s">
        <v>15</v>
      </c>
      <c r="O389">
        <v>110</v>
      </c>
      <c r="P389">
        <v>1</v>
      </c>
      <c r="Q389">
        <v>0</v>
      </c>
      <c r="R389">
        <v>0</v>
      </c>
      <c r="S389">
        <v>1</v>
      </c>
      <c r="T389">
        <v>0</v>
      </c>
      <c r="U389">
        <v>0</v>
      </c>
      <c r="V389" s="14" t="s">
        <v>429</v>
      </c>
    </row>
    <row r="390" spans="1:22" ht="14.25" customHeight="1" x14ac:dyDescent="0.25">
      <c r="A390" s="48" t="str">
        <f>LEFT(Tabelle1[[#This Row],[Artikel'#]],4)</f>
        <v>F028</v>
      </c>
      <c r="B390" s="46" t="str">
        <f>MID(Tabelle1[[#This Row],[Artikel'#]],5,3)</f>
        <v>138</v>
      </c>
      <c r="C390" s="48" t="str">
        <f>RIGHT(Tabelle1[[#This Row],[Artikel'#]],3)</f>
        <v>887</v>
      </c>
      <c r="D390" s="46">
        <f>IF(Tabelle1[[#This Row],[Winkel2]]=select!$A$2,1,0)</f>
        <v>1</v>
      </c>
      <c r="E3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0" s="46">
        <f>IF(select!$E$16=IF(Tabelle1[[#This Row],[mit Dämpfung]]=1,1,IF(Tabelle1[[#This Row],[ohne Dämpfung]]=1,2,IF(Tabelle1[[#This Row],[ohne Feder]]=1,3,0))),1,0)</f>
        <v>1</v>
      </c>
      <c r="G390" s="46">
        <f>IF(Tabelle1[[#This Row],[Links]]=select!$I$2,1,0)</f>
        <v>0</v>
      </c>
      <c r="H390" s="46">
        <f>IF(IF(Tabelle1[[#This Row],[Anschrauben]]=1,1,IF(Tabelle1[[#This Row],[Einpressen]]=1,2,IF(Tabelle1[[#This Row],[Werkzeuglos]]=1,3,0)))=select!$E$7,1,0)</f>
        <v>1</v>
      </c>
      <c r="I390" s="46">
        <f ca="1">IF(Tabelle1[[#This Row],[Winkel]]+Tabelle1[[#This Row],[Kröpfung]]+Tabelle1[[#This Row],[Däpfung]]+Tabelle1[[#This Row],[Bohrbild]]+Tabelle1[[#This Row],[Scharnierbefestigung]]=5,1,0)</f>
        <v>0</v>
      </c>
      <c r="J390" t="str">
        <f ca="1">Sprache!$A$55</f>
        <v>TIOMOS hinge TS-Click-on</v>
      </c>
      <c r="K390" t="str">
        <f ca="1">"110°, S-BB, K00, "&amp;Sprache!A59&amp;", ni"</f>
        <v>110°, S-BB, K00, Dowel, ni</v>
      </c>
      <c r="L390" t="str">
        <f ca="1">Sprache!$A$63</f>
        <v>TIOMOS Click-on hinges</v>
      </c>
      <c r="M390">
        <v>0</v>
      </c>
      <c r="N390" t="s">
        <v>15</v>
      </c>
      <c r="O390">
        <v>110</v>
      </c>
      <c r="P390">
        <v>1</v>
      </c>
      <c r="Q390">
        <v>0</v>
      </c>
      <c r="R390">
        <v>0</v>
      </c>
      <c r="S390">
        <v>0</v>
      </c>
      <c r="T390">
        <v>1</v>
      </c>
      <c r="U390">
        <v>0</v>
      </c>
      <c r="V390" s="14" t="s">
        <v>431</v>
      </c>
    </row>
    <row r="391" spans="1:22" ht="14.25" customHeight="1" x14ac:dyDescent="0.25">
      <c r="A391" s="48" t="str">
        <f>LEFT(Tabelle1[[#This Row],[Artikel'#]],4)</f>
        <v>F028</v>
      </c>
      <c r="B391" s="46" t="str">
        <f>MID(Tabelle1[[#This Row],[Artikel'#]],5,3)</f>
        <v>138</v>
      </c>
      <c r="C391" s="48" t="str">
        <f>RIGHT(Tabelle1[[#This Row],[Artikel'#]],3)</f>
        <v>888</v>
      </c>
      <c r="D391" s="46">
        <f>IF(Tabelle1[[#This Row],[Winkel2]]=select!$A$2,1,0)</f>
        <v>1</v>
      </c>
      <c r="E3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1" s="46">
        <f>IF(select!$E$16=IF(Tabelle1[[#This Row],[mit Dämpfung]]=1,1,IF(Tabelle1[[#This Row],[ohne Dämpfung]]=1,2,IF(Tabelle1[[#This Row],[ohne Feder]]=1,3,0))),1,0)</f>
        <v>1</v>
      </c>
      <c r="G391" s="46">
        <f>IF(Tabelle1[[#This Row],[Links]]=select!$I$2,1,0)</f>
        <v>0</v>
      </c>
      <c r="H391" s="46">
        <f>IF(IF(Tabelle1[[#This Row],[Anschrauben]]=1,1,IF(Tabelle1[[#This Row],[Einpressen]]=1,2,IF(Tabelle1[[#This Row],[Werkzeuglos]]=1,3,0)))=select!$E$7,1,0)</f>
        <v>1</v>
      </c>
      <c r="I391" s="46">
        <f ca="1">IF(Tabelle1[[#This Row],[Winkel]]+Tabelle1[[#This Row],[Kröpfung]]+Tabelle1[[#This Row],[Däpfung]]+Tabelle1[[#This Row],[Bohrbild]]+Tabelle1[[#This Row],[Scharnierbefestigung]]=5,1,0)</f>
        <v>0</v>
      </c>
      <c r="J391" t="str">
        <f ca="1">Sprache!$A$55</f>
        <v>TIOMOS hinge TS-Click-on</v>
      </c>
      <c r="K391" t="str">
        <f ca="1">"110°, S-BB, K03, "&amp;Sprache!A59&amp;", ni"</f>
        <v>110°, S-BB, K03, Dowel, ni</v>
      </c>
      <c r="L391" t="str">
        <f ca="1">Sprache!$A$63</f>
        <v>TIOMOS Click-on hinges</v>
      </c>
      <c r="M391">
        <v>3</v>
      </c>
      <c r="N391" t="s">
        <v>15</v>
      </c>
      <c r="O391">
        <v>110</v>
      </c>
      <c r="P391">
        <v>1</v>
      </c>
      <c r="Q391">
        <v>0</v>
      </c>
      <c r="R391">
        <v>0</v>
      </c>
      <c r="S391">
        <v>0</v>
      </c>
      <c r="T391">
        <v>1</v>
      </c>
      <c r="U391">
        <v>0</v>
      </c>
      <c r="V391" s="14" t="s">
        <v>432</v>
      </c>
    </row>
    <row r="392" spans="1:22" ht="14.25" customHeight="1" x14ac:dyDescent="0.25">
      <c r="A392" s="48" t="str">
        <f>LEFT(Tabelle1[[#This Row],[Artikel'#]],4)</f>
        <v>F028</v>
      </c>
      <c r="B392" s="46" t="str">
        <f>MID(Tabelle1[[#This Row],[Artikel'#]],5,3)</f>
        <v>138</v>
      </c>
      <c r="C392" s="48" t="str">
        <f>RIGHT(Tabelle1[[#This Row],[Artikel'#]],3)</f>
        <v>889</v>
      </c>
      <c r="D392" s="46">
        <f>IF(Tabelle1[[#This Row],[Winkel2]]=select!$A$2,1,0)</f>
        <v>1</v>
      </c>
      <c r="E3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92" s="46">
        <f>IF(select!$E$16=IF(Tabelle1[[#This Row],[mit Dämpfung]]=1,1,IF(Tabelle1[[#This Row],[ohne Dämpfung]]=1,2,IF(Tabelle1[[#This Row],[ohne Feder]]=1,3,0))),1,0)</f>
        <v>1</v>
      </c>
      <c r="G392" s="46">
        <f>IF(Tabelle1[[#This Row],[Links]]=select!$I$2,1,0)</f>
        <v>0</v>
      </c>
      <c r="H392" s="46">
        <f>IF(IF(Tabelle1[[#This Row],[Anschrauben]]=1,1,IF(Tabelle1[[#This Row],[Einpressen]]=1,2,IF(Tabelle1[[#This Row],[Werkzeuglos]]=1,3,0)))=select!$E$7,1,0)</f>
        <v>1</v>
      </c>
      <c r="I392" s="46">
        <f ca="1">IF(Tabelle1[[#This Row],[Winkel]]+Tabelle1[[#This Row],[Kröpfung]]+Tabelle1[[#This Row],[Däpfung]]+Tabelle1[[#This Row],[Bohrbild]]+Tabelle1[[#This Row],[Scharnierbefestigung]]=5,1,0)</f>
        <v>0</v>
      </c>
      <c r="J392" t="str">
        <f ca="1">Sprache!$A$55</f>
        <v>TIOMOS hinge TS-Click-on</v>
      </c>
      <c r="K392" t="str">
        <f ca="1">"110°, S-BB, K95, "&amp;Sprache!A59&amp;", ni"</f>
        <v>110°, S-BB, K95, Dowel, ni</v>
      </c>
      <c r="L392" t="str">
        <f ca="1">Sprache!$A$63</f>
        <v>TIOMOS Click-on hinges</v>
      </c>
      <c r="M392">
        <v>9.5</v>
      </c>
      <c r="N392" t="s">
        <v>15</v>
      </c>
      <c r="O392">
        <v>110</v>
      </c>
      <c r="P392">
        <v>1</v>
      </c>
      <c r="Q392">
        <v>0</v>
      </c>
      <c r="R392">
        <v>0</v>
      </c>
      <c r="S392">
        <v>0</v>
      </c>
      <c r="T392">
        <v>1</v>
      </c>
      <c r="U392">
        <v>0</v>
      </c>
      <c r="V392" s="14" t="s">
        <v>433</v>
      </c>
    </row>
    <row r="393" spans="1:22" ht="14.25" customHeight="1" x14ac:dyDescent="0.25">
      <c r="A393" s="48" t="str">
        <f>LEFT(Tabelle1[[#This Row],[Artikel'#]],4)</f>
        <v>F028</v>
      </c>
      <c r="B393" s="46" t="str">
        <f>MID(Tabelle1[[#This Row],[Artikel'#]],5,3)</f>
        <v>138</v>
      </c>
      <c r="C393" s="48" t="str">
        <f>RIGHT(Tabelle1[[#This Row],[Artikel'#]],3)</f>
        <v>890</v>
      </c>
      <c r="D393" s="46">
        <f>IF(Tabelle1[[#This Row],[Winkel2]]=select!$A$2,1,0)</f>
        <v>1</v>
      </c>
      <c r="E3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3" s="46">
        <f>IF(select!$E$16=IF(Tabelle1[[#This Row],[mit Dämpfung]]=1,1,IF(Tabelle1[[#This Row],[ohne Dämpfung]]=1,2,IF(Tabelle1[[#This Row],[ohne Feder]]=1,3,0))),1,0)</f>
        <v>1</v>
      </c>
      <c r="G393" s="46">
        <f>IF(Tabelle1[[#This Row],[Links]]=select!$I$2,1,0)</f>
        <v>0</v>
      </c>
      <c r="H393" s="46">
        <f>IF(IF(Tabelle1[[#This Row],[Anschrauben]]=1,1,IF(Tabelle1[[#This Row],[Einpressen]]=1,2,IF(Tabelle1[[#This Row],[Werkzeuglos]]=1,3,0)))=select!$E$7,1,0)</f>
        <v>1</v>
      </c>
      <c r="I393" s="46">
        <f ca="1">IF(Tabelle1[[#This Row],[Winkel]]+Tabelle1[[#This Row],[Kröpfung]]+Tabelle1[[#This Row],[Däpfung]]+Tabelle1[[#This Row],[Bohrbild]]+Tabelle1[[#This Row],[Scharnierbefestigung]]=5,1,0)</f>
        <v>0</v>
      </c>
      <c r="J393" t="str">
        <f ca="1">Sprache!$A$55</f>
        <v>TIOMOS hinge TS-Click-on</v>
      </c>
      <c r="K393" t="str">
        <f ca="1">"110°, S-BB, K19, "&amp;Sprache!A59&amp;", ni"</f>
        <v>110°, S-BB, K19, Dowel, ni</v>
      </c>
      <c r="L393" t="str">
        <f ca="1">Sprache!$A$63</f>
        <v>TIOMOS Click-on hinges</v>
      </c>
      <c r="M393">
        <v>19</v>
      </c>
      <c r="N393" t="s">
        <v>15</v>
      </c>
      <c r="O393">
        <v>110</v>
      </c>
      <c r="P393">
        <v>1</v>
      </c>
      <c r="Q393">
        <v>0</v>
      </c>
      <c r="R393">
        <v>0</v>
      </c>
      <c r="S393">
        <v>0</v>
      </c>
      <c r="T393">
        <v>1</v>
      </c>
      <c r="U393">
        <v>0</v>
      </c>
      <c r="V393" s="14" t="s">
        <v>434</v>
      </c>
    </row>
    <row r="394" spans="1:22" ht="14.25" customHeight="1" x14ac:dyDescent="0.25">
      <c r="A394" s="48" t="str">
        <f>LEFT(Tabelle1[[#This Row],[Artikel'#]],4)</f>
        <v>F028</v>
      </c>
      <c r="B394" s="46" t="str">
        <f>MID(Tabelle1[[#This Row],[Artikel'#]],5,3)</f>
        <v>138</v>
      </c>
      <c r="C394" s="48" t="str">
        <f>RIGHT(Tabelle1[[#This Row],[Artikel'#]],3)</f>
        <v>911</v>
      </c>
      <c r="D394" s="46">
        <f>IF(Tabelle1[[#This Row],[Winkel2]]=select!$A$2,1,0)</f>
        <v>0</v>
      </c>
      <c r="E3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4" s="46">
        <f>IF(select!$E$16=IF(Tabelle1[[#This Row],[mit Dämpfung]]=1,1,IF(Tabelle1[[#This Row],[ohne Dämpfung]]=1,2,IF(Tabelle1[[#This Row],[ohne Feder]]=1,3,0))),1,0)</f>
        <v>1</v>
      </c>
      <c r="G394" s="46">
        <f>IF(Tabelle1[[#This Row],[Links]]=select!$I$2,1,0)</f>
        <v>0</v>
      </c>
      <c r="H394" s="46">
        <f>IF(IF(Tabelle1[[#This Row],[Anschrauben]]=1,1,IF(Tabelle1[[#This Row],[Einpressen]]=1,2,IF(Tabelle1[[#This Row],[Werkzeuglos]]=1,3,0)))=select!$E$7,1,0)</f>
        <v>0</v>
      </c>
      <c r="I394" s="46">
        <f ca="1">IF(Tabelle1[[#This Row],[Winkel]]+Tabelle1[[#This Row],[Kröpfung]]+Tabelle1[[#This Row],[Däpfung]]+Tabelle1[[#This Row],[Bohrbild]]+Tabelle1[[#This Row],[Scharnierbefestigung]]=5,1,0)</f>
        <v>0</v>
      </c>
      <c r="J394" t="str">
        <f ca="1">Sprache!$A$55</f>
        <v>TIOMOS hinge TS-Click-on</v>
      </c>
      <c r="K394" t="s">
        <v>436</v>
      </c>
      <c r="L394" t="str">
        <f ca="1">Sprache!$A$63</f>
        <v>TIOMOS Click-on hinges</v>
      </c>
      <c r="M394">
        <v>0</v>
      </c>
      <c r="N394" t="s">
        <v>15</v>
      </c>
      <c r="O394">
        <v>120</v>
      </c>
      <c r="P394">
        <v>1</v>
      </c>
      <c r="Q394">
        <v>0</v>
      </c>
      <c r="R394">
        <v>0</v>
      </c>
      <c r="S394">
        <v>1</v>
      </c>
      <c r="T394">
        <v>0</v>
      </c>
      <c r="U394">
        <v>0</v>
      </c>
      <c r="V394" s="14" t="s">
        <v>435</v>
      </c>
    </row>
    <row r="395" spans="1:22" ht="14.25" customHeight="1" x14ac:dyDescent="0.25">
      <c r="A395" s="48" t="str">
        <f>LEFT(Tabelle1[[#This Row],[Artikel'#]],4)</f>
        <v>F028</v>
      </c>
      <c r="B395" s="46" t="str">
        <f>MID(Tabelle1[[#This Row],[Artikel'#]],5,3)</f>
        <v>138</v>
      </c>
      <c r="C395" s="48" t="str">
        <f>RIGHT(Tabelle1[[#This Row],[Artikel'#]],3)</f>
        <v>912</v>
      </c>
      <c r="D395" s="46">
        <f>IF(Tabelle1[[#This Row],[Winkel2]]=select!$A$2,1,0)</f>
        <v>0</v>
      </c>
      <c r="E3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5" s="46">
        <f>IF(select!$E$16=IF(Tabelle1[[#This Row],[mit Dämpfung]]=1,1,IF(Tabelle1[[#This Row],[ohne Dämpfung]]=1,2,IF(Tabelle1[[#This Row],[ohne Feder]]=1,3,0))),1,0)</f>
        <v>1</v>
      </c>
      <c r="G395" s="46">
        <f>IF(Tabelle1[[#This Row],[Links]]=select!$I$2,1,0)</f>
        <v>0</v>
      </c>
      <c r="H395" s="46">
        <f>IF(IF(Tabelle1[[#This Row],[Anschrauben]]=1,1,IF(Tabelle1[[#This Row],[Einpressen]]=1,2,IF(Tabelle1[[#This Row],[Werkzeuglos]]=1,3,0)))=select!$E$7,1,0)</f>
        <v>0</v>
      </c>
      <c r="I395" s="46">
        <f ca="1">IF(Tabelle1[[#This Row],[Winkel]]+Tabelle1[[#This Row],[Kröpfung]]+Tabelle1[[#This Row],[Däpfung]]+Tabelle1[[#This Row],[Bohrbild]]+Tabelle1[[#This Row],[Scharnierbefestigung]]=5,1,0)</f>
        <v>0</v>
      </c>
      <c r="J395" t="str">
        <f ca="1">Sprache!$A$55</f>
        <v>TIOMOS hinge TS-Click-on</v>
      </c>
      <c r="K395" t="s">
        <v>438</v>
      </c>
      <c r="L395" t="str">
        <f ca="1">Sprache!$A$63</f>
        <v>TIOMOS Click-on hinges</v>
      </c>
      <c r="M395">
        <v>3</v>
      </c>
      <c r="N395" t="s">
        <v>15</v>
      </c>
      <c r="O395">
        <v>120</v>
      </c>
      <c r="P395">
        <v>1</v>
      </c>
      <c r="Q395">
        <v>0</v>
      </c>
      <c r="R395">
        <v>0</v>
      </c>
      <c r="S395">
        <v>1</v>
      </c>
      <c r="T395">
        <v>0</v>
      </c>
      <c r="U395">
        <v>0</v>
      </c>
      <c r="V395" s="14" t="s">
        <v>437</v>
      </c>
    </row>
    <row r="396" spans="1:22" ht="14.25" customHeight="1" x14ac:dyDescent="0.25">
      <c r="A396" s="48" t="str">
        <f>LEFT(Tabelle1[[#This Row],[Artikel'#]],4)</f>
        <v>F028</v>
      </c>
      <c r="B396" s="46" t="str">
        <f>MID(Tabelle1[[#This Row],[Artikel'#]],5,3)</f>
        <v>138</v>
      </c>
      <c r="C396" s="48" t="str">
        <f>RIGHT(Tabelle1[[#This Row],[Artikel'#]],3)</f>
        <v>913</v>
      </c>
      <c r="D396" s="46">
        <f>IF(Tabelle1[[#This Row],[Winkel2]]=select!$A$2,1,0)</f>
        <v>0</v>
      </c>
      <c r="E3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96" s="46">
        <f>IF(select!$E$16=IF(Tabelle1[[#This Row],[mit Dämpfung]]=1,1,IF(Tabelle1[[#This Row],[ohne Dämpfung]]=1,2,IF(Tabelle1[[#This Row],[ohne Feder]]=1,3,0))),1,0)</f>
        <v>1</v>
      </c>
      <c r="G396" s="46">
        <f>IF(Tabelle1[[#This Row],[Links]]=select!$I$2,1,0)</f>
        <v>0</v>
      </c>
      <c r="H396" s="46">
        <f>IF(IF(Tabelle1[[#This Row],[Anschrauben]]=1,1,IF(Tabelle1[[#This Row],[Einpressen]]=1,2,IF(Tabelle1[[#This Row],[Werkzeuglos]]=1,3,0)))=select!$E$7,1,0)</f>
        <v>0</v>
      </c>
      <c r="I396" s="46">
        <f ca="1">IF(Tabelle1[[#This Row],[Winkel]]+Tabelle1[[#This Row],[Kröpfung]]+Tabelle1[[#This Row],[Däpfung]]+Tabelle1[[#This Row],[Bohrbild]]+Tabelle1[[#This Row],[Scharnierbefestigung]]=5,1,0)</f>
        <v>0</v>
      </c>
      <c r="J396" t="str">
        <f ca="1">Sprache!$A$55</f>
        <v>TIOMOS hinge TS-Click-on</v>
      </c>
      <c r="K396" t="s">
        <v>440</v>
      </c>
      <c r="L396" t="str">
        <f ca="1">Sprache!$A$63</f>
        <v>TIOMOS Click-on hinges</v>
      </c>
      <c r="M396">
        <v>9.5</v>
      </c>
      <c r="N396" t="s">
        <v>15</v>
      </c>
      <c r="O396">
        <v>120</v>
      </c>
      <c r="P396">
        <v>1</v>
      </c>
      <c r="Q396">
        <v>0</v>
      </c>
      <c r="R396">
        <v>0</v>
      </c>
      <c r="S396">
        <v>1</v>
      </c>
      <c r="T396">
        <v>0</v>
      </c>
      <c r="U396">
        <v>0</v>
      </c>
      <c r="V396" s="14" t="s">
        <v>439</v>
      </c>
    </row>
    <row r="397" spans="1:22" ht="14.25" customHeight="1" x14ac:dyDescent="0.25">
      <c r="A397" s="48" t="str">
        <f>LEFT(Tabelle1[[#This Row],[Artikel'#]],4)</f>
        <v>F028</v>
      </c>
      <c r="B397" s="46" t="str">
        <f>MID(Tabelle1[[#This Row],[Artikel'#]],5,3)</f>
        <v>138</v>
      </c>
      <c r="C397" s="48" t="str">
        <f>RIGHT(Tabelle1[[#This Row],[Artikel'#]],3)</f>
        <v>915</v>
      </c>
      <c r="D397" s="46">
        <f>IF(Tabelle1[[#This Row],[Winkel2]]=select!$A$2,1,0)</f>
        <v>0</v>
      </c>
      <c r="E3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7" s="46">
        <f>IF(select!$E$16=IF(Tabelle1[[#This Row],[mit Dämpfung]]=1,1,IF(Tabelle1[[#This Row],[ohne Dämpfung]]=1,2,IF(Tabelle1[[#This Row],[ohne Feder]]=1,3,0))),1,0)</f>
        <v>1</v>
      </c>
      <c r="G397" s="46">
        <f>IF(Tabelle1[[#This Row],[Links]]=select!$I$2,1,0)</f>
        <v>0</v>
      </c>
      <c r="H397" s="46">
        <f>IF(IF(Tabelle1[[#This Row],[Anschrauben]]=1,1,IF(Tabelle1[[#This Row],[Einpressen]]=1,2,IF(Tabelle1[[#This Row],[Werkzeuglos]]=1,3,0)))=select!$E$7,1,0)</f>
        <v>1</v>
      </c>
      <c r="I397" s="46">
        <f ca="1">IF(Tabelle1[[#This Row],[Winkel]]+Tabelle1[[#This Row],[Kröpfung]]+Tabelle1[[#This Row],[Däpfung]]+Tabelle1[[#This Row],[Bohrbild]]+Tabelle1[[#This Row],[Scharnierbefestigung]]=5,1,0)</f>
        <v>0</v>
      </c>
      <c r="J397" t="str">
        <f ca="1">Sprache!$A$55</f>
        <v>TIOMOS hinge TS-Click-on</v>
      </c>
      <c r="K397" t="str">
        <f ca="1">"120°, S-BB, K00, "&amp;Sprache!A59&amp;", ni"</f>
        <v>120°, S-BB, K00, Dowel, ni</v>
      </c>
      <c r="L397" t="str">
        <f ca="1">Sprache!$A$63</f>
        <v>TIOMOS Click-on hinges</v>
      </c>
      <c r="M397">
        <v>0</v>
      </c>
      <c r="N397" t="s">
        <v>15</v>
      </c>
      <c r="O397">
        <v>120</v>
      </c>
      <c r="P397">
        <v>1</v>
      </c>
      <c r="Q397">
        <v>0</v>
      </c>
      <c r="R397">
        <v>0</v>
      </c>
      <c r="S397">
        <v>0</v>
      </c>
      <c r="T397">
        <v>1</v>
      </c>
      <c r="U397">
        <v>0</v>
      </c>
      <c r="V397" s="14" t="s">
        <v>441</v>
      </c>
    </row>
    <row r="398" spans="1:22" ht="14.25" customHeight="1" x14ac:dyDescent="0.25">
      <c r="A398" s="48" t="str">
        <f>LEFT(Tabelle1[[#This Row],[Artikel'#]],4)</f>
        <v>F028</v>
      </c>
      <c r="B398" s="46" t="str">
        <f>MID(Tabelle1[[#This Row],[Artikel'#]],5,3)</f>
        <v>138</v>
      </c>
      <c r="C398" s="48" t="str">
        <f>RIGHT(Tabelle1[[#This Row],[Artikel'#]],3)</f>
        <v>916</v>
      </c>
      <c r="D398" s="46">
        <f>IF(Tabelle1[[#This Row],[Winkel2]]=select!$A$2,1,0)</f>
        <v>0</v>
      </c>
      <c r="E3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398" s="46">
        <f>IF(select!$E$16=IF(Tabelle1[[#This Row],[mit Dämpfung]]=1,1,IF(Tabelle1[[#This Row],[ohne Dämpfung]]=1,2,IF(Tabelle1[[#This Row],[ohne Feder]]=1,3,0))),1,0)</f>
        <v>1</v>
      </c>
      <c r="G398" s="46">
        <f>IF(Tabelle1[[#This Row],[Links]]=select!$I$2,1,0)</f>
        <v>0</v>
      </c>
      <c r="H398" s="46">
        <f>IF(IF(Tabelle1[[#This Row],[Anschrauben]]=1,1,IF(Tabelle1[[#This Row],[Einpressen]]=1,2,IF(Tabelle1[[#This Row],[Werkzeuglos]]=1,3,0)))=select!$E$7,1,0)</f>
        <v>1</v>
      </c>
      <c r="I398" s="46">
        <f ca="1">IF(Tabelle1[[#This Row],[Winkel]]+Tabelle1[[#This Row],[Kröpfung]]+Tabelle1[[#This Row],[Däpfung]]+Tabelle1[[#This Row],[Bohrbild]]+Tabelle1[[#This Row],[Scharnierbefestigung]]=5,1,0)</f>
        <v>0</v>
      </c>
      <c r="J398" t="str">
        <f ca="1">Sprache!$A$55</f>
        <v>TIOMOS hinge TS-Click-on</v>
      </c>
      <c r="K398" t="str">
        <f ca="1">"120°, S-BB, K03, "&amp;Sprache!A59&amp;", ni"</f>
        <v>120°, S-BB, K03, Dowel, ni</v>
      </c>
      <c r="L398" t="str">
        <f ca="1">Sprache!$A$63</f>
        <v>TIOMOS Click-on hinges</v>
      </c>
      <c r="M398">
        <v>3</v>
      </c>
      <c r="N398" t="s">
        <v>15</v>
      </c>
      <c r="O398">
        <v>120</v>
      </c>
      <c r="P398">
        <v>1</v>
      </c>
      <c r="Q398">
        <v>0</v>
      </c>
      <c r="R398">
        <v>0</v>
      </c>
      <c r="S398">
        <v>0</v>
      </c>
      <c r="T398">
        <v>1</v>
      </c>
      <c r="U398">
        <v>0</v>
      </c>
      <c r="V398" s="14" t="s">
        <v>442</v>
      </c>
    </row>
    <row r="399" spans="1:22" ht="14.25" customHeight="1" x14ac:dyDescent="0.25">
      <c r="A399" s="48" t="str">
        <f>LEFT(Tabelle1[[#This Row],[Artikel'#]],4)</f>
        <v>F028</v>
      </c>
      <c r="B399" s="46" t="str">
        <f>MID(Tabelle1[[#This Row],[Artikel'#]],5,3)</f>
        <v>138</v>
      </c>
      <c r="C399" s="48" t="str">
        <f>RIGHT(Tabelle1[[#This Row],[Artikel'#]],3)</f>
        <v>917</v>
      </c>
      <c r="D399" s="46">
        <f>IF(Tabelle1[[#This Row],[Winkel2]]=select!$A$2,1,0)</f>
        <v>0</v>
      </c>
      <c r="E3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399" s="46">
        <f>IF(select!$E$16=IF(Tabelle1[[#This Row],[mit Dämpfung]]=1,1,IF(Tabelle1[[#This Row],[ohne Dämpfung]]=1,2,IF(Tabelle1[[#This Row],[ohne Feder]]=1,3,0))),1,0)</f>
        <v>1</v>
      </c>
      <c r="G399" s="46">
        <f>IF(Tabelle1[[#This Row],[Links]]=select!$I$2,1,0)</f>
        <v>0</v>
      </c>
      <c r="H399" s="46">
        <f>IF(IF(Tabelle1[[#This Row],[Anschrauben]]=1,1,IF(Tabelle1[[#This Row],[Einpressen]]=1,2,IF(Tabelle1[[#This Row],[Werkzeuglos]]=1,3,0)))=select!$E$7,1,0)</f>
        <v>1</v>
      </c>
      <c r="I399" s="46">
        <f ca="1">IF(Tabelle1[[#This Row],[Winkel]]+Tabelle1[[#This Row],[Kröpfung]]+Tabelle1[[#This Row],[Däpfung]]+Tabelle1[[#This Row],[Bohrbild]]+Tabelle1[[#This Row],[Scharnierbefestigung]]=5,1,0)</f>
        <v>0</v>
      </c>
      <c r="J399" t="str">
        <f ca="1">Sprache!$A$55</f>
        <v>TIOMOS hinge TS-Click-on</v>
      </c>
      <c r="K399" t="str">
        <f ca="1">"120°, S-BB, K95, "&amp;Sprache!A59&amp;", ni"</f>
        <v>120°, S-BB, K95, Dowel, ni</v>
      </c>
      <c r="L399" t="str">
        <f ca="1">Sprache!$A$63</f>
        <v>TIOMOS Click-on hinges</v>
      </c>
      <c r="M399">
        <v>9.5</v>
      </c>
      <c r="N399" t="s">
        <v>15</v>
      </c>
      <c r="O399">
        <v>120</v>
      </c>
      <c r="P399">
        <v>1</v>
      </c>
      <c r="Q399">
        <v>0</v>
      </c>
      <c r="R399">
        <v>0</v>
      </c>
      <c r="S399">
        <v>0</v>
      </c>
      <c r="T399">
        <v>1</v>
      </c>
      <c r="U399">
        <v>0</v>
      </c>
      <c r="V399" s="14" t="s">
        <v>443</v>
      </c>
    </row>
    <row r="400" spans="1:22" ht="14.25" customHeight="1" x14ac:dyDescent="0.25">
      <c r="A400" s="48" t="str">
        <f>LEFT(Tabelle1[[#This Row],[Artikel'#]],4)</f>
        <v>F028</v>
      </c>
      <c r="B400" s="46" t="str">
        <f>MID(Tabelle1[[#This Row],[Artikel'#]],5,3)</f>
        <v>138</v>
      </c>
      <c r="C400" s="48" t="str">
        <f>RIGHT(Tabelle1[[#This Row],[Artikel'#]],3)</f>
        <v>925</v>
      </c>
      <c r="D400" s="46">
        <f>IF(Tabelle1[[#This Row],[Winkel2]]=select!$A$2,1,0)</f>
        <v>0</v>
      </c>
      <c r="E4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0" s="46">
        <f>IF(select!$E$16=IF(Tabelle1[[#This Row],[mit Dämpfung]]=1,1,IF(Tabelle1[[#This Row],[ohne Dämpfung]]=1,2,IF(Tabelle1[[#This Row],[ohne Feder]]=1,3,0))),1,0)</f>
        <v>1</v>
      </c>
      <c r="G400" s="46">
        <f>IF(Tabelle1[[#This Row],[Links]]=select!$I$2,1,0)</f>
        <v>0</v>
      </c>
      <c r="H400" s="46">
        <f>IF(IF(Tabelle1[[#This Row],[Anschrauben]]=1,1,IF(Tabelle1[[#This Row],[Einpressen]]=1,2,IF(Tabelle1[[#This Row],[Werkzeuglos]]=1,3,0)))=select!$E$7,1,0)</f>
        <v>0</v>
      </c>
      <c r="I400" s="46">
        <f ca="1">IF(Tabelle1[[#This Row],[Winkel]]+Tabelle1[[#This Row],[Kröpfung]]+Tabelle1[[#This Row],[Däpfung]]+Tabelle1[[#This Row],[Bohrbild]]+Tabelle1[[#This Row],[Scharnierbefestigung]]=5,1,0)</f>
        <v>0</v>
      </c>
      <c r="J400" t="str">
        <f ca="1">Sprache!$A$55</f>
        <v>TIOMOS hinge TS-Click-on</v>
      </c>
      <c r="K400" t="s">
        <v>445</v>
      </c>
      <c r="L400" t="str">
        <f ca="1">Sprache!$A$63</f>
        <v>TIOMOS Click-on hinges</v>
      </c>
      <c r="M400">
        <v>0</v>
      </c>
      <c r="N400" s="13" t="s">
        <v>15</v>
      </c>
      <c r="O400">
        <v>160</v>
      </c>
      <c r="P400">
        <v>1</v>
      </c>
      <c r="Q400">
        <v>0</v>
      </c>
      <c r="R400">
        <v>0</v>
      </c>
      <c r="S400">
        <v>1</v>
      </c>
      <c r="T400">
        <v>0</v>
      </c>
      <c r="U400">
        <v>0</v>
      </c>
      <c r="V400" s="14" t="s">
        <v>444</v>
      </c>
    </row>
    <row r="401" spans="1:22" ht="14.25" customHeight="1" x14ac:dyDescent="0.25">
      <c r="A401" s="48" t="str">
        <f>LEFT(Tabelle1[[#This Row],[Artikel'#]],4)</f>
        <v>F028</v>
      </c>
      <c r="B401" s="46" t="str">
        <f>MID(Tabelle1[[#This Row],[Artikel'#]],5,3)</f>
        <v>138</v>
      </c>
      <c r="C401" s="48" t="str">
        <f>RIGHT(Tabelle1[[#This Row],[Artikel'#]],3)</f>
        <v>926</v>
      </c>
      <c r="D401" s="46">
        <f>IF(Tabelle1[[#This Row],[Winkel2]]=select!$A$2,1,0)</f>
        <v>0</v>
      </c>
      <c r="E4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1" s="46">
        <f>IF(select!$E$16=IF(Tabelle1[[#This Row],[mit Dämpfung]]=1,1,IF(Tabelle1[[#This Row],[ohne Dämpfung]]=1,2,IF(Tabelle1[[#This Row],[ohne Feder]]=1,3,0))),1,0)</f>
        <v>1</v>
      </c>
      <c r="G401" s="46">
        <f>IF(Tabelle1[[#This Row],[Links]]=select!$I$2,1,0)</f>
        <v>0</v>
      </c>
      <c r="H401" s="46">
        <f>IF(IF(Tabelle1[[#This Row],[Anschrauben]]=1,1,IF(Tabelle1[[#This Row],[Einpressen]]=1,2,IF(Tabelle1[[#This Row],[Werkzeuglos]]=1,3,0)))=select!$E$7,1,0)</f>
        <v>0</v>
      </c>
      <c r="I401" s="46">
        <f ca="1">IF(Tabelle1[[#This Row],[Winkel]]+Tabelle1[[#This Row],[Kröpfung]]+Tabelle1[[#This Row],[Däpfung]]+Tabelle1[[#This Row],[Bohrbild]]+Tabelle1[[#This Row],[Scharnierbefestigung]]=5,1,0)</f>
        <v>0</v>
      </c>
      <c r="J401" t="str">
        <f ca="1">Sprache!$A$55</f>
        <v>TIOMOS hinge TS-Click-on</v>
      </c>
      <c r="K401" t="s">
        <v>447</v>
      </c>
      <c r="L401" t="str">
        <f ca="1">Sprache!$A$63</f>
        <v>TIOMOS Click-on hinges</v>
      </c>
      <c r="M401">
        <v>3</v>
      </c>
      <c r="N401" t="s">
        <v>15</v>
      </c>
      <c r="O401">
        <v>160</v>
      </c>
      <c r="P401">
        <v>1</v>
      </c>
      <c r="Q401">
        <v>0</v>
      </c>
      <c r="R401">
        <v>0</v>
      </c>
      <c r="S401">
        <v>1</v>
      </c>
      <c r="T401">
        <v>0</v>
      </c>
      <c r="U401">
        <v>0</v>
      </c>
      <c r="V401" s="14" t="s">
        <v>446</v>
      </c>
    </row>
    <row r="402" spans="1:22" ht="14.25" customHeight="1" x14ac:dyDescent="0.25">
      <c r="A402" s="48" t="str">
        <f>LEFT(Tabelle1[[#This Row],[Artikel'#]],4)</f>
        <v>F028</v>
      </c>
      <c r="B402" s="46" t="str">
        <f>MID(Tabelle1[[#This Row],[Artikel'#]],5,3)</f>
        <v>138</v>
      </c>
      <c r="C402" s="48" t="str">
        <f>RIGHT(Tabelle1[[#This Row],[Artikel'#]],3)</f>
        <v>927</v>
      </c>
      <c r="D402" s="46">
        <f>IF(Tabelle1[[#This Row],[Winkel2]]=select!$A$2,1,0)</f>
        <v>0</v>
      </c>
      <c r="E4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02" s="46">
        <f>IF(select!$E$16=IF(Tabelle1[[#This Row],[mit Dämpfung]]=1,1,IF(Tabelle1[[#This Row],[ohne Dämpfung]]=1,2,IF(Tabelle1[[#This Row],[ohne Feder]]=1,3,0))),1,0)</f>
        <v>1</v>
      </c>
      <c r="G402" s="46">
        <f>IF(Tabelle1[[#This Row],[Links]]=select!$I$2,1,0)</f>
        <v>0</v>
      </c>
      <c r="H402" s="46">
        <f>IF(IF(Tabelle1[[#This Row],[Anschrauben]]=1,1,IF(Tabelle1[[#This Row],[Einpressen]]=1,2,IF(Tabelle1[[#This Row],[Werkzeuglos]]=1,3,0)))=select!$E$7,1,0)</f>
        <v>0</v>
      </c>
      <c r="I402" s="46">
        <f ca="1">IF(Tabelle1[[#This Row],[Winkel]]+Tabelle1[[#This Row],[Kröpfung]]+Tabelle1[[#This Row],[Däpfung]]+Tabelle1[[#This Row],[Bohrbild]]+Tabelle1[[#This Row],[Scharnierbefestigung]]=5,1,0)</f>
        <v>0</v>
      </c>
      <c r="J402" t="str">
        <f ca="1">Sprache!$A$55</f>
        <v>TIOMOS hinge TS-Click-on</v>
      </c>
      <c r="K402" t="s">
        <v>449</v>
      </c>
      <c r="L402" t="str">
        <f ca="1">Sprache!$A$63</f>
        <v>TIOMOS Click-on hinges</v>
      </c>
      <c r="M402">
        <v>9.5</v>
      </c>
      <c r="N402" t="s">
        <v>15</v>
      </c>
      <c r="O402">
        <v>160</v>
      </c>
      <c r="P402">
        <v>1</v>
      </c>
      <c r="Q402">
        <v>0</v>
      </c>
      <c r="R402">
        <v>0</v>
      </c>
      <c r="S402">
        <v>1</v>
      </c>
      <c r="T402">
        <v>0</v>
      </c>
      <c r="U402">
        <v>0</v>
      </c>
      <c r="V402" s="14" t="s">
        <v>448</v>
      </c>
    </row>
    <row r="403" spans="1:22" ht="14.25" customHeight="1" x14ac:dyDescent="0.25">
      <c r="A403" s="48" t="str">
        <f>LEFT(Tabelle1[[#This Row],[Artikel'#]],4)</f>
        <v>F028</v>
      </c>
      <c r="B403" s="46" t="str">
        <f>MID(Tabelle1[[#This Row],[Artikel'#]],5,3)</f>
        <v>138</v>
      </c>
      <c r="C403" s="48" t="str">
        <f>RIGHT(Tabelle1[[#This Row],[Artikel'#]],3)</f>
        <v>928</v>
      </c>
      <c r="D403" s="46">
        <f>IF(Tabelle1[[#This Row],[Winkel2]]=select!$A$2,1,0)</f>
        <v>0</v>
      </c>
      <c r="E4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3" s="46">
        <f>IF(select!$E$16=IF(Tabelle1[[#This Row],[mit Dämpfung]]=1,1,IF(Tabelle1[[#This Row],[ohne Dämpfung]]=1,2,IF(Tabelle1[[#This Row],[ohne Feder]]=1,3,0))),1,0)</f>
        <v>1</v>
      </c>
      <c r="G403" s="46">
        <f>IF(Tabelle1[[#This Row],[Links]]=select!$I$2,1,0)</f>
        <v>0</v>
      </c>
      <c r="H403" s="46">
        <f>IF(IF(Tabelle1[[#This Row],[Anschrauben]]=1,1,IF(Tabelle1[[#This Row],[Einpressen]]=1,2,IF(Tabelle1[[#This Row],[Werkzeuglos]]=1,3,0)))=select!$E$7,1,0)</f>
        <v>1</v>
      </c>
      <c r="I403" s="46">
        <f ca="1">IF(Tabelle1[[#This Row],[Winkel]]+Tabelle1[[#This Row],[Kröpfung]]+Tabelle1[[#This Row],[Däpfung]]+Tabelle1[[#This Row],[Bohrbild]]+Tabelle1[[#This Row],[Scharnierbefestigung]]=5,1,0)</f>
        <v>0</v>
      </c>
      <c r="J403" t="str">
        <f ca="1">Sprache!$A$55</f>
        <v>TIOMOS hinge TS-Click-on</v>
      </c>
      <c r="K403" t="str">
        <f ca="1">"160°, S-BB, K00, "&amp;Sprache!A59&amp;", ni"</f>
        <v>160°, S-BB, K00, Dowel, ni</v>
      </c>
      <c r="L403" t="str">
        <f ca="1">Sprache!$A$63</f>
        <v>TIOMOS Click-on hinges</v>
      </c>
      <c r="M403">
        <v>0</v>
      </c>
      <c r="N403" s="13" t="s">
        <v>15</v>
      </c>
      <c r="O403">
        <v>160</v>
      </c>
      <c r="P403">
        <v>1</v>
      </c>
      <c r="Q403">
        <v>0</v>
      </c>
      <c r="R403">
        <v>0</v>
      </c>
      <c r="S403">
        <v>0</v>
      </c>
      <c r="T403">
        <v>1</v>
      </c>
      <c r="U403">
        <v>0</v>
      </c>
      <c r="V403" s="14" t="s">
        <v>450</v>
      </c>
    </row>
    <row r="404" spans="1:22" ht="14.25" customHeight="1" x14ac:dyDescent="0.25">
      <c r="A404" s="48" t="str">
        <f>LEFT(Tabelle1[[#This Row],[Artikel'#]],4)</f>
        <v>F028</v>
      </c>
      <c r="B404" s="46" t="str">
        <f>MID(Tabelle1[[#This Row],[Artikel'#]],5,3)</f>
        <v>138</v>
      </c>
      <c r="C404" s="48" t="str">
        <f>RIGHT(Tabelle1[[#This Row],[Artikel'#]],3)</f>
        <v>929</v>
      </c>
      <c r="D404" s="46">
        <f>IF(Tabelle1[[#This Row],[Winkel2]]=select!$A$2,1,0)</f>
        <v>0</v>
      </c>
      <c r="E4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4" s="46">
        <f>IF(select!$E$16=IF(Tabelle1[[#This Row],[mit Dämpfung]]=1,1,IF(Tabelle1[[#This Row],[ohne Dämpfung]]=1,2,IF(Tabelle1[[#This Row],[ohne Feder]]=1,3,0))),1,0)</f>
        <v>1</v>
      </c>
      <c r="G404" s="46">
        <f>IF(Tabelle1[[#This Row],[Links]]=select!$I$2,1,0)</f>
        <v>0</v>
      </c>
      <c r="H404" s="46">
        <f>IF(IF(Tabelle1[[#This Row],[Anschrauben]]=1,1,IF(Tabelle1[[#This Row],[Einpressen]]=1,2,IF(Tabelle1[[#This Row],[Werkzeuglos]]=1,3,0)))=select!$E$7,1,0)</f>
        <v>1</v>
      </c>
      <c r="I404" s="46">
        <f ca="1">IF(Tabelle1[[#This Row],[Winkel]]+Tabelle1[[#This Row],[Kröpfung]]+Tabelle1[[#This Row],[Däpfung]]+Tabelle1[[#This Row],[Bohrbild]]+Tabelle1[[#This Row],[Scharnierbefestigung]]=5,1,0)</f>
        <v>0</v>
      </c>
      <c r="J404" t="str">
        <f ca="1">Sprache!$A$55</f>
        <v>TIOMOS hinge TS-Click-on</v>
      </c>
      <c r="K404" t="str">
        <f ca="1">"160°, S-BB, K03, "&amp;Sprache!A59&amp;", ni"</f>
        <v>160°, S-BB, K03, Dowel, ni</v>
      </c>
      <c r="L404" t="str">
        <f ca="1">Sprache!$A$63</f>
        <v>TIOMOS Click-on hinges</v>
      </c>
      <c r="M404">
        <v>3</v>
      </c>
      <c r="N404" t="s">
        <v>15</v>
      </c>
      <c r="O404">
        <v>160</v>
      </c>
      <c r="P404">
        <v>1</v>
      </c>
      <c r="Q404">
        <v>0</v>
      </c>
      <c r="R404">
        <v>0</v>
      </c>
      <c r="S404">
        <v>0</v>
      </c>
      <c r="T404">
        <v>1</v>
      </c>
      <c r="U404">
        <v>0</v>
      </c>
      <c r="V404" s="14" t="s">
        <v>451</v>
      </c>
    </row>
    <row r="405" spans="1:22" ht="14.25" customHeight="1" x14ac:dyDescent="0.25">
      <c r="A405" s="48" t="str">
        <f>LEFT(Tabelle1[[#This Row],[Artikel'#]],4)</f>
        <v>F028</v>
      </c>
      <c r="B405" s="46" t="str">
        <f>MID(Tabelle1[[#This Row],[Artikel'#]],5,3)</f>
        <v>138</v>
      </c>
      <c r="C405" s="48" t="str">
        <f>RIGHT(Tabelle1[[#This Row],[Artikel'#]],3)</f>
        <v>930</v>
      </c>
      <c r="D405" s="46">
        <f>IF(Tabelle1[[#This Row],[Winkel2]]=select!$A$2,1,0)</f>
        <v>0</v>
      </c>
      <c r="E4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05" s="46">
        <f>IF(select!$E$16=IF(Tabelle1[[#This Row],[mit Dämpfung]]=1,1,IF(Tabelle1[[#This Row],[ohne Dämpfung]]=1,2,IF(Tabelle1[[#This Row],[ohne Feder]]=1,3,0))),1,0)</f>
        <v>1</v>
      </c>
      <c r="G405" s="46">
        <f>IF(Tabelle1[[#This Row],[Links]]=select!$I$2,1,0)</f>
        <v>0</v>
      </c>
      <c r="H405" s="46">
        <f>IF(IF(Tabelle1[[#This Row],[Anschrauben]]=1,1,IF(Tabelle1[[#This Row],[Einpressen]]=1,2,IF(Tabelle1[[#This Row],[Werkzeuglos]]=1,3,0)))=select!$E$7,1,0)</f>
        <v>1</v>
      </c>
      <c r="I405" s="46">
        <f ca="1">IF(Tabelle1[[#This Row],[Winkel]]+Tabelle1[[#This Row],[Kröpfung]]+Tabelle1[[#This Row],[Däpfung]]+Tabelle1[[#This Row],[Bohrbild]]+Tabelle1[[#This Row],[Scharnierbefestigung]]=5,1,0)</f>
        <v>0</v>
      </c>
      <c r="J405" t="str">
        <f ca="1">Sprache!$A$55</f>
        <v>TIOMOS hinge TS-Click-on</v>
      </c>
      <c r="K405" t="str">
        <f ca="1">"160°, S-BB, K95, "&amp;Sprache!A59&amp;", ni"</f>
        <v>160°, S-BB, K95, Dowel, ni</v>
      </c>
      <c r="L405" t="str">
        <f ca="1">Sprache!$A$63</f>
        <v>TIOMOS Click-on hinges</v>
      </c>
      <c r="M405">
        <v>9.5</v>
      </c>
      <c r="N405" t="s">
        <v>15</v>
      </c>
      <c r="O405">
        <v>160</v>
      </c>
      <c r="P405">
        <v>1</v>
      </c>
      <c r="Q405">
        <v>0</v>
      </c>
      <c r="R405">
        <v>0</v>
      </c>
      <c r="S405">
        <v>0</v>
      </c>
      <c r="T405">
        <v>1</v>
      </c>
      <c r="U405">
        <v>0</v>
      </c>
      <c r="V405" s="14" t="s">
        <v>452</v>
      </c>
    </row>
    <row r="406" spans="1:22" ht="14.25" customHeight="1" x14ac:dyDescent="0.25">
      <c r="A406" s="48" t="str">
        <f>LEFT(Tabelle1[[#This Row],[Artikel'#]],4)</f>
        <v>F028</v>
      </c>
      <c r="B406" s="46" t="str">
        <f>MID(Tabelle1[[#This Row],[Artikel'#]],5,3)</f>
        <v>138</v>
      </c>
      <c r="C406" s="48" t="str">
        <f>RIGHT(Tabelle1[[#This Row],[Artikel'#]],3)</f>
        <v>931</v>
      </c>
      <c r="D406" s="46">
        <f>IF(Tabelle1[[#This Row],[Winkel2]]=select!$A$2,1,0)</f>
        <v>0</v>
      </c>
      <c r="E4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6" s="46">
        <f>IF(select!$E$16=IF(Tabelle1[[#This Row],[mit Dämpfung]]=1,1,IF(Tabelle1[[#This Row],[ohne Dämpfung]]=1,2,IF(Tabelle1[[#This Row],[ohne Feder]]=1,3,0))),1,0)</f>
        <v>1</v>
      </c>
      <c r="G406" s="46">
        <f>IF(Tabelle1[[#This Row],[Links]]=select!$I$2,1,0)</f>
        <v>0</v>
      </c>
      <c r="H406" s="46">
        <f>IF(IF(Tabelle1[[#This Row],[Anschrauben]]=1,1,IF(Tabelle1[[#This Row],[Einpressen]]=1,2,IF(Tabelle1[[#This Row],[Werkzeuglos]]=1,3,0)))=select!$E$7,1,0)</f>
        <v>0</v>
      </c>
      <c r="I406" s="46">
        <f ca="1">IF(Tabelle1[[#This Row],[Winkel]]+Tabelle1[[#This Row],[Kröpfung]]+Tabelle1[[#This Row],[Däpfung]]+Tabelle1[[#This Row],[Bohrbild]]+Tabelle1[[#This Row],[Scharnierbefestigung]]=5,1,0)</f>
        <v>0</v>
      </c>
      <c r="J406" t="str">
        <f ca="1">Sprache!$A$55</f>
        <v>TIOMOS hinge TS-Click-on</v>
      </c>
      <c r="K406" t="s">
        <v>454</v>
      </c>
      <c r="L406" t="str">
        <f ca="1">Sprache!$A$63</f>
        <v>TIOMOS Click-on hinges</v>
      </c>
      <c r="M406">
        <v>0</v>
      </c>
      <c r="N406" t="s">
        <v>15</v>
      </c>
      <c r="O406">
        <v>95</v>
      </c>
      <c r="P406">
        <v>1</v>
      </c>
      <c r="Q406">
        <v>0</v>
      </c>
      <c r="R406">
        <v>0</v>
      </c>
      <c r="S406">
        <v>1</v>
      </c>
      <c r="T406">
        <v>0</v>
      </c>
      <c r="U406">
        <v>0</v>
      </c>
      <c r="V406" s="14" t="s">
        <v>453</v>
      </c>
    </row>
    <row r="407" spans="1:22" ht="14.25" customHeight="1" x14ac:dyDescent="0.25">
      <c r="A407" s="48" t="str">
        <f>LEFT(Tabelle1[[#This Row],[Artikel'#]],4)</f>
        <v>F028</v>
      </c>
      <c r="B407" s="46" t="str">
        <f>MID(Tabelle1[[#This Row],[Artikel'#]],5,3)</f>
        <v>138</v>
      </c>
      <c r="C407" s="48" t="str">
        <f>RIGHT(Tabelle1[[#This Row],[Artikel'#]],3)</f>
        <v>932</v>
      </c>
      <c r="D407" s="46">
        <f>IF(Tabelle1[[#This Row],[Winkel2]]=select!$A$2,1,0)</f>
        <v>0</v>
      </c>
      <c r="E4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7" s="46">
        <f>IF(select!$E$16=IF(Tabelle1[[#This Row],[mit Dämpfung]]=1,1,IF(Tabelle1[[#This Row],[ohne Dämpfung]]=1,2,IF(Tabelle1[[#This Row],[ohne Feder]]=1,3,0))),1,0)</f>
        <v>1</v>
      </c>
      <c r="G407" s="46">
        <f>IF(Tabelle1[[#This Row],[Links]]=select!$I$2,1,0)</f>
        <v>0</v>
      </c>
      <c r="H407" s="46">
        <f>IF(IF(Tabelle1[[#This Row],[Anschrauben]]=1,1,IF(Tabelle1[[#This Row],[Einpressen]]=1,2,IF(Tabelle1[[#This Row],[Werkzeuglos]]=1,3,0)))=select!$E$7,1,0)</f>
        <v>0</v>
      </c>
      <c r="I407" s="46">
        <f ca="1">IF(Tabelle1[[#This Row],[Winkel]]+Tabelle1[[#This Row],[Kröpfung]]+Tabelle1[[#This Row],[Däpfung]]+Tabelle1[[#This Row],[Bohrbild]]+Tabelle1[[#This Row],[Scharnierbefestigung]]=5,1,0)</f>
        <v>0</v>
      </c>
      <c r="J407" t="str">
        <f ca="1">Sprache!$A$55</f>
        <v>TIOMOS hinge TS-Click-on</v>
      </c>
      <c r="K407" t="s">
        <v>456</v>
      </c>
      <c r="L407" t="str">
        <f ca="1">Sprache!$A$63</f>
        <v>TIOMOS Click-on hinges</v>
      </c>
      <c r="M407">
        <v>3</v>
      </c>
      <c r="N407" t="s">
        <v>15</v>
      </c>
      <c r="O407">
        <v>95</v>
      </c>
      <c r="P407">
        <v>1</v>
      </c>
      <c r="Q407">
        <v>0</v>
      </c>
      <c r="R407">
        <v>0</v>
      </c>
      <c r="S407">
        <v>1</v>
      </c>
      <c r="T407">
        <v>0</v>
      </c>
      <c r="U407">
        <v>0</v>
      </c>
      <c r="V407" s="14" t="s">
        <v>455</v>
      </c>
    </row>
    <row r="408" spans="1:22" ht="14.25" customHeight="1" x14ac:dyDescent="0.25">
      <c r="A408" s="48" t="str">
        <f>LEFT(Tabelle1[[#This Row],[Artikel'#]],4)</f>
        <v>F028</v>
      </c>
      <c r="B408" s="46" t="str">
        <f>MID(Tabelle1[[#This Row],[Artikel'#]],5,3)</f>
        <v>138</v>
      </c>
      <c r="C408" s="48" t="str">
        <f>RIGHT(Tabelle1[[#This Row],[Artikel'#]],3)</f>
        <v>933</v>
      </c>
      <c r="D408" s="46">
        <f>IF(Tabelle1[[#This Row],[Winkel2]]=select!$A$2,1,0)</f>
        <v>0</v>
      </c>
      <c r="E4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08" s="46">
        <f>IF(select!$E$16=IF(Tabelle1[[#This Row],[mit Dämpfung]]=1,1,IF(Tabelle1[[#This Row],[ohne Dämpfung]]=1,2,IF(Tabelle1[[#This Row],[ohne Feder]]=1,3,0))),1,0)</f>
        <v>1</v>
      </c>
      <c r="G408" s="46">
        <f>IF(Tabelle1[[#This Row],[Links]]=select!$I$2,1,0)</f>
        <v>0</v>
      </c>
      <c r="H408" s="46">
        <f>IF(IF(Tabelle1[[#This Row],[Anschrauben]]=1,1,IF(Tabelle1[[#This Row],[Einpressen]]=1,2,IF(Tabelle1[[#This Row],[Werkzeuglos]]=1,3,0)))=select!$E$7,1,0)</f>
        <v>0</v>
      </c>
      <c r="I408" s="46">
        <f ca="1">IF(Tabelle1[[#This Row],[Winkel]]+Tabelle1[[#This Row],[Kröpfung]]+Tabelle1[[#This Row],[Däpfung]]+Tabelle1[[#This Row],[Bohrbild]]+Tabelle1[[#This Row],[Scharnierbefestigung]]=5,1,0)</f>
        <v>0</v>
      </c>
      <c r="J408" t="str">
        <f ca="1">Sprache!$A$55</f>
        <v>TIOMOS hinge TS-Click-on</v>
      </c>
      <c r="K408" t="s">
        <v>458</v>
      </c>
      <c r="L408" t="str">
        <f ca="1">Sprache!$A$63</f>
        <v>TIOMOS Click-on hinges</v>
      </c>
      <c r="M408">
        <v>9.5</v>
      </c>
      <c r="N408" t="s">
        <v>15</v>
      </c>
      <c r="O408">
        <v>95</v>
      </c>
      <c r="P408">
        <v>1</v>
      </c>
      <c r="Q408">
        <v>0</v>
      </c>
      <c r="R408">
        <v>0</v>
      </c>
      <c r="S408">
        <v>1</v>
      </c>
      <c r="T408">
        <v>0</v>
      </c>
      <c r="U408">
        <v>0</v>
      </c>
      <c r="V408" s="14" t="s">
        <v>457</v>
      </c>
    </row>
    <row r="409" spans="1:22" ht="14.25" customHeight="1" x14ac:dyDescent="0.25">
      <c r="A409" s="48" t="str">
        <f>LEFT(Tabelle1[[#This Row],[Artikel'#]],4)</f>
        <v>F028</v>
      </c>
      <c r="B409" s="46" t="str">
        <f>MID(Tabelle1[[#This Row],[Artikel'#]],5,3)</f>
        <v>138</v>
      </c>
      <c r="C409" s="48" t="str">
        <f>RIGHT(Tabelle1[[#This Row],[Artikel'#]],3)</f>
        <v>934</v>
      </c>
      <c r="D409" s="46">
        <f>IF(Tabelle1[[#This Row],[Winkel2]]=select!$A$2,1,0)</f>
        <v>0</v>
      </c>
      <c r="E4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09" s="46">
        <f>IF(select!$E$16=IF(Tabelle1[[#This Row],[mit Dämpfung]]=1,1,IF(Tabelle1[[#This Row],[ohne Dämpfung]]=1,2,IF(Tabelle1[[#This Row],[ohne Feder]]=1,3,0))),1,0)</f>
        <v>1</v>
      </c>
      <c r="G409" s="46">
        <f>IF(Tabelle1[[#This Row],[Links]]=select!$I$2,1,0)</f>
        <v>0</v>
      </c>
      <c r="H409" s="46">
        <f>IF(IF(Tabelle1[[#This Row],[Anschrauben]]=1,1,IF(Tabelle1[[#This Row],[Einpressen]]=1,2,IF(Tabelle1[[#This Row],[Werkzeuglos]]=1,3,0)))=select!$E$7,1,0)</f>
        <v>0</v>
      </c>
      <c r="I409" s="46">
        <f ca="1">IF(Tabelle1[[#This Row],[Winkel]]+Tabelle1[[#This Row],[Kröpfung]]+Tabelle1[[#This Row],[Däpfung]]+Tabelle1[[#This Row],[Bohrbild]]+Tabelle1[[#This Row],[Scharnierbefestigung]]=5,1,0)</f>
        <v>0</v>
      </c>
      <c r="J409" t="str">
        <f ca="1">Sprache!$A$55</f>
        <v>TIOMOS hinge TS-Click-on</v>
      </c>
      <c r="K409" t="s">
        <v>460</v>
      </c>
      <c r="L409" t="str">
        <f ca="1">Sprache!$A$63</f>
        <v>TIOMOS Click-on hinges</v>
      </c>
      <c r="M409">
        <v>19</v>
      </c>
      <c r="N409" t="s">
        <v>15</v>
      </c>
      <c r="O409">
        <v>95</v>
      </c>
      <c r="P409">
        <v>1</v>
      </c>
      <c r="Q409">
        <v>0</v>
      </c>
      <c r="R409">
        <v>0</v>
      </c>
      <c r="S409">
        <v>1</v>
      </c>
      <c r="T409">
        <v>0</v>
      </c>
      <c r="U409">
        <v>0</v>
      </c>
      <c r="V409" s="14" t="s">
        <v>459</v>
      </c>
    </row>
    <row r="410" spans="1:22" ht="14.25" customHeight="1" x14ac:dyDescent="0.25">
      <c r="A410" s="48" t="str">
        <f>LEFT(Tabelle1[[#This Row],[Artikel'#]],4)</f>
        <v>F028</v>
      </c>
      <c r="B410" s="46" t="str">
        <f>MID(Tabelle1[[#This Row],[Artikel'#]],5,3)</f>
        <v>138</v>
      </c>
      <c r="C410" s="48" t="str">
        <f>RIGHT(Tabelle1[[#This Row],[Artikel'#]],3)</f>
        <v>935</v>
      </c>
      <c r="D410" s="46">
        <f>IF(Tabelle1[[#This Row],[Winkel2]]=select!$A$2,1,0)</f>
        <v>0</v>
      </c>
      <c r="E4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0" s="46">
        <f>IF(select!$E$16=IF(Tabelle1[[#This Row],[mit Dämpfung]]=1,1,IF(Tabelle1[[#This Row],[ohne Dämpfung]]=1,2,IF(Tabelle1[[#This Row],[ohne Feder]]=1,3,0))),1,0)</f>
        <v>1</v>
      </c>
      <c r="G410" s="46">
        <f>IF(Tabelle1[[#This Row],[Links]]=select!$I$2,1,0)</f>
        <v>0</v>
      </c>
      <c r="H410" s="46">
        <f>IF(IF(Tabelle1[[#This Row],[Anschrauben]]=1,1,IF(Tabelle1[[#This Row],[Einpressen]]=1,2,IF(Tabelle1[[#This Row],[Werkzeuglos]]=1,3,0)))=select!$E$7,1,0)</f>
        <v>1</v>
      </c>
      <c r="I410" s="46">
        <f ca="1">IF(Tabelle1[[#This Row],[Winkel]]+Tabelle1[[#This Row],[Kröpfung]]+Tabelle1[[#This Row],[Däpfung]]+Tabelle1[[#This Row],[Bohrbild]]+Tabelle1[[#This Row],[Scharnierbefestigung]]=5,1,0)</f>
        <v>0</v>
      </c>
      <c r="J410" t="str">
        <f ca="1">Sprache!$A$55</f>
        <v>TIOMOS hinge TS-Click-on</v>
      </c>
      <c r="K410" t="str">
        <f ca="1">"95°, S-BB, K00, "&amp;Sprache!A59&amp;", ni"</f>
        <v>95°, S-BB, K00, Dowel, ni</v>
      </c>
      <c r="L410" t="str">
        <f ca="1">Sprache!$A$63</f>
        <v>TIOMOS Click-on hinges</v>
      </c>
      <c r="M410">
        <v>0</v>
      </c>
      <c r="N410" t="s">
        <v>15</v>
      </c>
      <c r="O410">
        <v>95</v>
      </c>
      <c r="P410">
        <v>1</v>
      </c>
      <c r="Q410">
        <v>0</v>
      </c>
      <c r="R410">
        <v>0</v>
      </c>
      <c r="S410">
        <v>0</v>
      </c>
      <c r="T410">
        <v>1</v>
      </c>
      <c r="U410">
        <v>0</v>
      </c>
      <c r="V410" s="14" t="s">
        <v>461</v>
      </c>
    </row>
    <row r="411" spans="1:22" ht="14.25" customHeight="1" x14ac:dyDescent="0.25">
      <c r="A411" s="48" t="str">
        <f>LEFT(Tabelle1[[#This Row],[Artikel'#]],4)</f>
        <v>F028</v>
      </c>
      <c r="B411" s="46" t="str">
        <f>MID(Tabelle1[[#This Row],[Artikel'#]],5,3)</f>
        <v>138</v>
      </c>
      <c r="C411" s="48" t="str">
        <f>RIGHT(Tabelle1[[#This Row],[Artikel'#]],3)</f>
        <v>936</v>
      </c>
      <c r="D411" s="46">
        <f>IF(Tabelle1[[#This Row],[Winkel2]]=select!$A$2,1,0)</f>
        <v>0</v>
      </c>
      <c r="E4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1" s="46">
        <f>IF(select!$E$16=IF(Tabelle1[[#This Row],[mit Dämpfung]]=1,1,IF(Tabelle1[[#This Row],[ohne Dämpfung]]=1,2,IF(Tabelle1[[#This Row],[ohne Feder]]=1,3,0))),1,0)</f>
        <v>1</v>
      </c>
      <c r="G411" s="46">
        <f>IF(Tabelle1[[#This Row],[Links]]=select!$I$2,1,0)</f>
        <v>0</v>
      </c>
      <c r="H411" s="46">
        <f>IF(IF(Tabelle1[[#This Row],[Anschrauben]]=1,1,IF(Tabelle1[[#This Row],[Einpressen]]=1,2,IF(Tabelle1[[#This Row],[Werkzeuglos]]=1,3,0)))=select!$E$7,1,0)</f>
        <v>1</v>
      </c>
      <c r="I411" s="46">
        <f ca="1">IF(Tabelle1[[#This Row],[Winkel]]+Tabelle1[[#This Row],[Kröpfung]]+Tabelle1[[#This Row],[Däpfung]]+Tabelle1[[#This Row],[Bohrbild]]+Tabelle1[[#This Row],[Scharnierbefestigung]]=5,1,0)</f>
        <v>0</v>
      </c>
      <c r="J411" t="str">
        <f ca="1">Sprache!$A$55</f>
        <v>TIOMOS hinge TS-Click-on</v>
      </c>
      <c r="K411" t="str">
        <f ca="1">"95°, S-BB, K03, "&amp;Sprache!A59&amp;", ni"</f>
        <v>95°, S-BB, K03, Dowel, ni</v>
      </c>
      <c r="L411" t="str">
        <f ca="1">Sprache!$A$63</f>
        <v>TIOMOS Click-on hinges</v>
      </c>
      <c r="M411">
        <v>3</v>
      </c>
      <c r="N411" t="s">
        <v>15</v>
      </c>
      <c r="O411">
        <v>95</v>
      </c>
      <c r="P411">
        <v>1</v>
      </c>
      <c r="Q411">
        <v>0</v>
      </c>
      <c r="R411">
        <v>0</v>
      </c>
      <c r="S411">
        <v>0</v>
      </c>
      <c r="T411">
        <v>1</v>
      </c>
      <c r="U411">
        <v>0</v>
      </c>
      <c r="V411" s="14" t="s">
        <v>462</v>
      </c>
    </row>
    <row r="412" spans="1:22" ht="14.25" customHeight="1" x14ac:dyDescent="0.25">
      <c r="A412" s="48" t="str">
        <f>LEFT(Tabelle1[[#This Row],[Artikel'#]],4)</f>
        <v>F028</v>
      </c>
      <c r="B412" s="46" t="str">
        <f>MID(Tabelle1[[#This Row],[Artikel'#]],5,3)</f>
        <v>138</v>
      </c>
      <c r="C412" s="48" t="str">
        <f>RIGHT(Tabelle1[[#This Row],[Artikel'#]],3)</f>
        <v>937</v>
      </c>
      <c r="D412" s="46">
        <f>IF(Tabelle1[[#This Row],[Winkel2]]=select!$A$2,1,0)</f>
        <v>0</v>
      </c>
      <c r="E4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12" s="46">
        <f>IF(select!$E$16=IF(Tabelle1[[#This Row],[mit Dämpfung]]=1,1,IF(Tabelle1[[#This Row],[ohne Dämpfung]]=1,2,IF(Tabelle1[[#This Row],[ohne Feder]]=1,3,0))),1,0)</f>
        <v>1</v>
      </c>
      <c r="G412" s="46">
        <f>IF(Tabelle1[[#This Row],[Links]]=select!$I$2,1,0)</f>
        <v>0</v>
      </c>
      <c r="H412" s="46">
        <f>IF(IF(Tabelle1[[#This Row],[Anschrauben]]=1,1,IF(Tabelle1[[#This Row],[Einpressen]]=1,2,IF(Tabelle1[[#This Row],[Werkzeuglos]]=1,3,0)))=select!$E$7,1,0)</f>
        <v>1</v>
      </c>
      <c r="I412" s="46">
        <f ca="1">IF(Tabelle1[[#This Row],[Winkel]]+Tabelle1[[#This Row],[Kröpfung]]+Tabelle1[[#This Row],[Däpfung]]+Tabelle1[[#This Row],[Bohrbild]]+Tabelle1[[#This Row],[Scharnierbefestigung]]=5,1,0)</f>
        <v>0</v>
      </c>
      <c r="J412" t="str">
        <f ca="1">Sprache!$A$55</f>
        <v>TIOMOS hinge TS-Click-on</v>
      </c>
      <c r="K412" t="str">
        <f ca="1">"95°, S-BB, K95, "&amp;Sprache!A59&amp;", ni"</f>
        <v>95°, S-BB, K95, Dowel, ni</v>
      </c>
      <c r="L412" t="str">
        <f ca="1">Sprache!$A$63</f>
        <v>TIOMOS Click-on hinges</v>
      </c>
      <c r="M412">
        <v>9.5</v>
      </c>
      <c r="N412" t="s">
        <v>15</v>
      </c>
      <c r="O412">
        <v>95</v>
      </c>
      <c r="P412">
        <v>1</v>
      </c>
      <c r="Q412">
        <v>0</v>
      </c>
      <c r="R412">
        <v>0</v>
      </c>
      <c r="S412">
        <v>0</v>
      </c>
      <c r="T412">
        <v>1</v>
      </c>
      <c r="U412">
        <v>0</v>
      </c>
      <c r="V412" s="14" t="s">
        <v>463</v>
      </c>
    </row>
    <row r="413" spans="1:22" ht="14.25" customHeight="1" x14ac:dyDescent="0.25">
      <c r="A413" s="48" t="str">
        <f>LEFT(Tabelle1[[#This Row],[Artikel'#]],4)</f>
        <v>F028</v>
      </c>
      <c r="B413" s="46" t="str">
        <f>MID(Tabelle1[[#This Row],[Artikel'#]],5,3)</f>
        <v>138</v>
      </c>
      <c r="C413" s="48" t="str">
        <f>RIGHT(Tabelle1[[#This Row],[Artikel'#]],3)</f>
        <v>938</v>
      </c>
      <c r="D413" s="46">
        <f>IF(Tabelle1[[#This Row],[Winkel2]]=select!$A$2,1,0)</f>
        <v>0</v>
      </c>
      <c r="E4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3" s="46">
        <f>IF(select!$E$16=IF(Tabelle1[[#This Row],[mit Dämpfung]]=1,1,IF(Tabelle1[[#This Row],[ohne Dämpfung]]=1,2,IF(Tabelle1[[#This Row],[ohne Feder]]=1,3,0))),1,0)</f>
        <v>1</v>
      </c>
      <c r="G413" s="46">
        <f>IF(Tabelle1[[#This Row],[Links]]=select!$I$2,1,0)</f>
        <v>0</v>
      </c>
      <c r="H413" s="46">
        <f>IF(IF(Tabelle1[[#This Row],[Anschrauben]]=1,1,IF(Tabelle1[[#This Row],[Einpressen]]=1,2,IF(Tabelle1[[#This Row],[Werkzeuglos]]=1,3,0)))=select!$E$7,1,0)</f>
        <v>1</v>
      </c>
      <c r="I413" s="46">
        <f ca="1">IF(Tabelle1[[#This Row],[Winkel]]+Tabelle1[[#This Row],[Kröpfung]]+Tabelle1[[#This Row],[Däpfung]]+Tabelle1[[#This Row],[Bohrbild]]+Tabelle1[[#This Row],[Scharnierbefestigung]]=5,1,0)</f>
        <v>0</v>
      </c>
      <c r="J413" t="str">
        <f ca="1">Sprache!$A$55</f>
        <v>TIOMOS hinge TS-Click-on</v>
      </c>
      <c r="K413" t="str">
        <f ca="1">"95°, S-BB, K19, "&amp;Sprache!A59&amp;", ni"</f>
        <v>95°, S-BB, K19, Dowel, ni</v>
      </c>
      <c r="L413" t="str">
        <f ca="1">Sprache!$A$63</f>
        <v>TIOMOS Click-on hinges</v>
      </c>
      <c r="M413">
        <v>19</v>
      </c>
      <c r="N413" t="s">
        <v>15</v>
      </c>
      <c r="O413">
        <v>95</v>
      </c>
      <c r="P413">
        <v>1</v>
      </c>
      <c r="Q413">
        <v>0</v>
      </c>
      <c r="R413">
        <v>0</v>
      </c>
      <c r="S413">
        <v>0</v>
      </c>
      <c r="T413">
        <v>1</v>
      </c>
      <c r="U413">
        <v>0</v>
      </c>
      <c r="V413" s="14" t="s">
        <v>464</v>
      </c>
    </row>
    <row r="414" spans="1:22" ht="14.25" customHeight="1" x14ac:dyDescent="0.25">
      <c r="A414" s="48" t="str">
        <f>LEFT(Tabelle1[[#This Row],[Artikel'#]],4)</f>
        <v>F028</v>
      </c>
      <c r="B414" s="46" t="str">
        <f>MID(Tabelle1[[#This Row],[Artikel'#]],5,3)</f>
        <v>139</v>
      </c>
      <c r="C414" s="48" t="str">
        <f>RIGHT(Tabelle1[[#This Row],[Artikel'#]],3)</f>
        <v>017</v>
      </c>
      <c r="D414" s="46">
        <f>IF(Tabelle1[[#This Row],[Winkel2]]=select!$A$2,1,0)</f>
        <v>0</v>
      </c>
      <c r="E4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4" s="46">
        <f>IF(select!$E$16=IF(Tabelle1[[#This Row],[mit Dämpfung]]=1,1,IF(Tabelle1[[#This Row],[ohne Dämpfung]]=1,2,IF(Tabelle1[[#This Row],[ohne Feder]]=1,3,0))),1,0)</f>
        <v>1</v>
      </c>
      <c r="G414" s="46">
        <f>IF(Tabelle1[[#This Row],[Links]]=select!$I$2,1,0)</f>
        <v>0</v>
      </c>
      <c r="H414" s="46">
        <f>IF(IF(Tabelle1[[#This Row],[Anschrauben]]=1,1,IF(Tabelle1[[#This Row],[Einpressen]]=1,2,IF(Tabelle1[[#This Row],[Werkzeuglos]]=1,3,0)))=select!$E$7,1,0)</f>
        <v>0</v>
      </c>
      <c r="I414" s="46">
        <f ca="1">IF(Tabelle1[[#This Row],[Winkel]]+Tabelle1[[#This Row],[Kröpfung]]+Tabelle1[[#This Row],[Däpfung]]+Tabelle1[[#This Row],[Bohrbild]]+Tabelle1[[#This Row],[Scharnierbefestigung]]=5,1,0)</f>
        <v>0</v>
      </c>
      <c r="J414" t="str">
        <f ca="1">Sprache!$A$55</f>
        <v>TIOMOS hinge TS-Click-on</v>
      </c>
      <c r="K414" t="s">
        <v>466</v>
      </c>
      <c r="L414" t="str">
        <f ca="1">Sprache!$A$63</f>
        <v>TIOMOS Click-on hinges</v>
      </c>
      <c r="M414">
        <v>19</v>
      </c>
      <c r="N414" t="s">
        <v>12</v>
      </c>
      <c r="O414">
        <v>120</v>
      </c>
      <c r="P414">
        <v>1</v>
      </c>
      <c r="Q414">
        <v>0</v>
      </c>
      <c r="R414">
        <v>0</v>
      </c>
      <c r="S414">
        <v>1</v>
      </c>
      <c r="T414">
        <v>0</v>
      </c>
      <c r="U414">
        <v>0</v>
      </c>
      <c r="V414" s="14" t="s">
        <v>465</v>
      </c>
    </row>
    <row r="415" spans="1:22" ht="14.25" customHeight="1" x14ac:dyDescent="0.25">
      <c r="A415" s="48" t="str">
        <f>LEFT(Tabelle1[[#This Row],[Artikel'#]],4)</f>
        <v>F028</v>
      </c>
      <c r="B415" s="46" t="str">
        <f>MID(Tabelle1[[#This Row],[Artikel'#]],5,3)</f>
        <v>139</v>
      </c>
      <c r="C415" s="48" t="str">
        <f>RIGHT(Tabelle1[[#This Row],[Artikel'#]],3)</f>
        <v>018</v>
      </c>
      <c r="D415" s="46">
        <f>IF(Tabelle1[[#This Row],[Winkel2]]=select!$A$2,1,0)</f>
        <v>0</v>
      </c>
      <c r="E4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5" s="46">
        <f>IF(select!$E$16=IF(Tabelle1[[#This Row],[mit Dämpfung]]=1,1,IF(Tabelle1[[#This Row],[ohne Dämpfung]]=1,2,IF(Tabelle1[[#This Row],[ohne Feder]]=1,3,0))),1,0)</f>
        <v>1</v>
      </c>
      <c r="G415" s="46">
        <f>IF(Tabelle1[[#This Row],[Links]]=select!$I$2,1,0)</f>
        <v>0</v>
      </c>
      <c r="H415" s="46">
        <f>IF(IF(Tabelle1[[#This Row],[Anschrauben]]=1,1,IF(Tabelle1[[#This Row],[Einpressen]]=1,2,IF(Tabelle1[[#This Row],[Werkzeuglos]]=1,3,0)))=select!$E$7,1,0)</f>
        <v>1</v>
      </c>
      <c r="I415" s="46">
        <f ca="1">IF(Tabelle1[[#This Row],[Winkel]]+Tabelle1[[#This Row],[Kröpfung]]+Tabelle1[[#This Row],[Däpfung]]+Tabelle1[[#This Row],[Bohrbild]]+Tabelle1[[#This Row],[Scharnierbefestigung]]=5,1,0)</f>
        <v>0</v>
      </c>
      <c r="J415" t="str">
        <f ca="1">Sprache!$A$55</f>
        <v>TIOMOS hinge TS-Click-on</v>
      </c>
      <c r="K415" t="str">
        <f ca="1">"120°, M-BB, K19, "&amp;Sprache!A59&amp;", ni"</f>
        <v>120°, M-BB, K19, Dowel, ni</v>
      </c>
      <c r="L415" t="str">
        <f ca="1">Sprache!$A$63</f>
        <v>TIOMOS Click-on hinges</v>
      </c>
      <c r="M415">
        <v>19</v>
      </c>
      <c r="N415" t="s">
        <v>12</v>
      </c>
      <c r="O415">
        <v>120</v>
      </c>
      <c r="P415">
        <v>1</v>
      </c>
      <c r="Q415">
        <v>0</v>
      </c>
      <c r="R415">
        <v>0</v>
      </c>
      <c r="S415">
        <v>0</v>
      </c>
      <c r="T415">
        <v>1</v>
      </c>
      <c r="U415">
        <v>0</v>
      </c>
      <c r="V415" s="14" t="s">
        <v>467</v>
      </c>
    </row>
    <row r="416" spans="1:22" ht="14.25" customHeight="1" x14ac:dyDescent="0.25">
      <c r="A416" s="48" t="str">
        <f>LEFT(Tabelle1[[#This Row],[Artikel'#]],4)</f>
        <v>F028</v>
      </c>
      <c r="B416" s="46" t="str">
        <f>MID(Tabelle1[[#This Row],[Artikel'#]],5,3)</f>
        <v>139</v>
      </c>
      <c r="C416" s="48" t="str">
        <f>RIGHT(Tabelle1[[#This Row],[Artikel'#]],3)</f>
        <v>022</v>
      </c>
      <c r="D416" s="46">
        <f>IF(Tabelle1[[#This Row],[Winkel2]]=select!$A$2,1,0)</f>
        <v>0</v>
      </c>
      <c r="E4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6" s="46">
        <f>IF(select!$E$16=IF(Tabelle1[[#This Row],[mit Dämpfung]]=1,1,IF(Tabelle1[[#This Row],[ohne Dämpfung]]=1,2,IF(Tabelle1[[#This Row],[ohne Feder]]=1,3,0))),1,0)</f>
        <v>1</v>
      </c>
      <c r="G416" s="46">
        <f>IF(Tabelle1[[#This Row],[Links]]=select!$I$2,1,0)</f>
        <v>0</v>
      </c>
      <c r="H416" s="46">
        <f>IF(IF(Tabelle1[[#This Row],[Anschrauben]]=1,1,IF(Tabelle1[[#This Row],[Einpressen]]=1,2,IF(Tabelle1[[#This Row],[Werkzeuglos]]=1,3,0)))=select!$E$7,1,0)</f>
        <v>0</v>
      </c>
      <c r="I416" s="46">
        <f ca="1">IF(Tabelle1[[#This Row],[Winkel]]+Tabelle1[[#This Row],[Kröpfung]]+Tabelle1[[#This Row],[Däpfung]]+Tabelle1[[#This Row],[Bohrbild]]+Tabelle1[[#This Row],[Scharnierbefestigung]]=5,1,0)</f>
        <v>0</v>
      </c>
      <c r="J416" t="str">
        <f ca="1">Sprache!$A$55</f>
        <v>TIOMOS hinge TS-Click-on</v>
      </c>
      <c r="K416" t="s">
        <v>469</v>
      </c>
      <c r="L416" t="str">
        <f ca="1">Sprache!$A$63</f>
        <v>TIOMOS Click-on hinges</v>
      </c>
      <c r="M416">
        <v>19</v>
      </c>
      <c r="N416" t="s">
        <v>14</v>
      </c>
      <c r="O416">
        <v>120</v>
      </c>
      <c r="P416">
        <v>1</v>
      </c>
      <c r="Q416">
        <v>0</v>
      </c>
      <c r="R416">
        <v>0</v>
      </c>
      <c r="S416">
        <v>1</v>
      </c>
      <c r="T416">
        <v>0</v>
      </c>
      <c r="U416">
        <v>0</v>
      </c>
      <c r="V416" s="14" t="s">
        <v>468</v>
      </c>
    </row>
    <row r="417" spans="1:22" ht="14.25" customHeight="1" x14ac:dyDescent="0.25">
      <c r="A417" s="48" t="str">
        <f>LEFT(Tabelle1[[#This Row],[Artikel'#]],4)</f>
        <v>F028</v>
      </c>
      <c r="B417" s="46" t="str">
        <f>MID(Tabelle1[[#This Row],[Artikel'#]],5,3)</f>
        <v>139</v>
      </c>
      <c r="C417" s="48" t="str">
        <f>RIGHT(Tabelle1[[#This Row],[Artikel'#]],3)</f>
        <v>023</v>
      </c>
      <c r="D417" s="46">
        <f>IF(Tabelle1[[#This Row],[Winkel2]]=select!$A$2,1,0)</f>
        <v>0</v>
      </c>
      <c r="E4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7" s="46">
        <f>IF(select!$E$16=IF(Tabelle1[[#This Row],[mit Dämpfung]]=1,1,IF(Tabelle1[[#This Row],[ohne Dämpfung]]=1,2,IF(Tabelle1[[#This Row],[ohne Feder]]=1,3,0))),1,0)</f>
        <v>1</v>
      </c>
      <c r="G417" s="46">
        <f>IF(Tabelle1[[#This Row],[Links]]=select!$I$2,1,0)</f>
        <v>0</v>
      </c>
      <c r="H417" s="46">
        <f>IF(IF(Tabelle1[[#This Row],[Anschrauben]]=1,1,IF(Tabelle1[[#This Row],[Einpressen]]=1,2,IF(Tabelle1[[#This Row],[Werkzeuglos]]=1,3,0)))=select!$E$7,1,0)</f>
        <v>1</v>
      </c>
      <c r="I417" s="46">
        <f ca="1">IF(Tabelle1[[#This Row],[Winkel]]+Tabelle1[[#This Row],[Kröpfung]]+Tabelle1[[#This Row],[Däpfung]]+Tabelle1[[#This Row],[Bohrbild]]+Tabelle1[[#This Row],[Scharnierbefestigung]]=5,1,0)</f>
        <v>0</v>
      </c>
      <c r="J417" t="str">
        <f ca="1">Sprache!$A$55</f>
        <v>TIOMOS hinge TS-Click-on</v>
      </c>
      <c r="K417" t="str">
        <f ca="1">"120°, H-BB, K19, "&amp;Sprache!A59&amp;", ni"</f>
        <v>120°, H-BB, K19, Dowel, ni</v>
      </c>
      <c r="L417" t="str">
        <f ca="1">Sprache!$A$63</f>
        <v>TIOMOS Click-on hinges</v>
      </c>
      <c r="M417">
        <v>19</v>
      </c>
      <c r="N417" t="s">
        <v>14</v>
      </c>
      <c r="O417">
        <v>120</v>
      </c>
      <c r="P417">
        <v>1</v>
      </c>
      <c r="Q417">
        <v>0</v>
      </c>
      <c r="R417">
        <v>0</v>
      </c>
      <c r="S417">
        <v>0</v>
      </c>
      <c r="T417">
        <v>1</v>
      </c>
      <c r="U417">
        <v>0</v>
      </c>
      <c r="V417" s="14" t="s">
        <v>470</v>
      </c>
    </row>
    <row r="418" spans="1:22" ht="14.25" customHeight="1" x14ac:dyDescent="0.25">
      <c r="A418" s="48" t="str">
        <f>LEFT(Tabelle1[[#This Row],[Artikel'#]],4)</f>
        <v>F028</v>
      </c>
      <c r="B418" s="46" t="str">
        <f>MID(Tabelle1[[#This Row],[Artikel'#]],5,3)</f>
        <v>139</v>
      </c>
      <c r="C418" s="48" t="str">
        <f>RIGHT(Tabelle1[[#This Row],[Artikel'#]],3)</f>
        <v>027</v>
      </c>
      <c r="D418" s="46">
        <f>IF(Tabelle1[[#This Row],[Winkel2]]=select!$A$2,1,0)</f>
        <v>0</v>
      </c>
      <c r="E4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8" s="46">
        <f>IF(select!$E$16=IF(Tabelle1[[#This Row],[mit Dämpfung]]=1,1,IF(Tabelle1[[#This Row],[ohne Dämpfung]]=1,2,IF(Tabelle1[[#This Row],[ohne Feder]]=1,3,0))),1,0)</f>
        <v>1</v>
      </c>
      <c r="G418" s="46">
        <f>IF(Tabelle1[[#This Row],[Links]]=select!$I$2,1,0)</f>
        <v>0</v>
      </c>
      <c r="H418" s="46">
        <f>IF(IF(Tabelle1[[#This Row],[Anschrauben]]=1,1,IF(Tabelle1[[#This Row],[Einpressen]]=1,2,IF(Tabelle1[[#This Row],[Werkzeuglos]]=1,3,0)))=select!$E$7,1,0)</f>
        <v>0</v>
      </c>
      <c r="I418" s="46">
        <f ca="1">IF(Tabelle1[[#This Row],[Winkel]]+Tabelle1[[#This Row],[Kröpfung]]+Tabelle1[[#This Row],[Däpfung]]+Tabelle1[[#This Row],[Bohrbild]]+Tabelle1[[#This Row],[Scharnierbefestigung]]=5,1,0)</f>
        <v>0</v>
      </c>
      <c r="J418" t="str">
        <f ca="1">Sprache!$A$55</f>
        <v>TIOMOS hinge TS-Click-on</v>
      </c>
      <c r="K418" t="s">
        <v>472</v>
      </c>
      <c r="L418" t="str">
        <f ca="1">Sprache!$A$63</f>
        <v>TIOMOS Click-on hinges</v>
      </c>
      <c r="M418">
        <v>19</v>
      </c>
      <c r="N418" t="s">
        <v>13</v>
      </c>
      <c r="O418">
        <v>120</v>
      </c>
      <c r="P418">
        <v>1</v>
      </c>
      <c r="Q418">
        <v>0</v>
      </c>
      <c r="R418">
        <v>0</v>
      </c>
      <c r="S418">
        <v>1</v>
      </c>
      <c r="T418">
        <v>0</v>
      </c>
      <c r="U418">
        <v>0</v>
      </c>
      <c r="V418" s="14" t="s">
        <v>471</v>
      </c>
    </row>
    <row r="419" spans="1:22" ht="14.25" customHeight="1" x14ac:dyDescent="0.25">
      <c r="A419" s="48" t="str">
        <f>LEFT(Tabelle1[[#This Row],[Artikel'#]],4)</f>
        <v>F028</v>
      </c>
      <c r="B419" s="46" t="str">
        <f>MID(Tabelle1[[#This Row],[Artikel'#]],5,3)</f>
        <v>139</v>
      </c>
      <c r="C419" s="48" t="str">
        <f>RIGHT(Tabelle1[[#This Row],[Artikel'#]],3)</f>
        <v>028</v>
      </c>
      <c r="D419" s="46">
        <f>IF(Tabelle1[[#This Row],[Winkel2]]=select!$A$2,1,0)</f>
        <v>0</v>
      </c>
      <c r="E4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19" s="46">
        <f>IF(select!$E$16=IF(Tabelle1[[#This Row],[mit Dämpfung]]=1,1,IF(Tabelle1[[#This Row],[ohne Dämpfung]]=1,2,IF(Tabelle1[[#This Row],[ohne Feder]]=1,3,0))),1,0)</f>
        <v>1</v>
      </c>
      <c r="G419" s="46">
        <f>IF(Tabelle1[[#This Row],[Links]]=select!$I$2,1,0)</f>
        <v>0</v>
      </c>
      <c r="H419" s="46">
        <f>IF(IF(Tabelle1[[#This Row],[Anschrauben]]=1,1,IF(Tabelle1[[#This Row],[Einpressen]]=1,2,IF(Tabelle1[[#This Row],[Werkzeuglos]]=1,3,0)))=select!$E$7,1,0)</f>
        <v>1</v>
      </c>
      <c r="I419" s="46">
        <f ca="1">IF(Tabelle1[[#This Row],[Winkel]]+Tabelle1[[#This Row],[Kröpfung]]+Tabelle1[[#This Row],[Däpfung]]+Tabelle1[[#This Row],[Bohrbild]]+Tabelle1[[#This Row],[Scharnierbefestigung]]=5,1,0)</f>
        <v>0</v>
      </c>
      <c r="J419" t="str">
        <f ca="1">Sprache!$A$55</f>
        <v>TIOMOS hinge TS-Click-on</v>
      </c>
      <c r="K419" t="str">
        <f ca="1">"120°, G-BB, K19, "&amp;Sprache!A59&amp;", ni"</f>
        <v>120°, G-BB, K19, Dowel, ni</v>
      </c>
      <c r="L419" t="str">
        <f ca="1">Sprache!$A$63</f>
        <v>TIOMOS Click-on hinges</v>
      </c>
      <c r="M419">
        <v>19</v>
      </c>
      <c r="N419" t="s">
        <v>13</v>
      </c>
      <c r="O419">
        <v>120</v>
      </c>
      <c r="P419">
        <v>1</v>
      </c>
      <c r="Q419">
        <v>0</v>
      </c>
      <c r="R419">
        <v>0</v>
      </c>
      <c r="S419">
        <v>0</v>
      </c>
      <c r="T419">
        <v>1</v>
      </c>
      <c r="U419">
        <v>0</v>
      </c>
      <c r="V419" s="14" t="s">
        <v>473</v>
      </c>
    </row>
    <row r="420" spans="1:22" ht="14.25" customHeight="1" x14ac:dyDescent="0.25">
      <c r="A420" s="48" t="str">
        <f>LEFT(Tabelle1[[#This Row],[Artikel'#]],4)</f>
        <v>F028</v>
      </c>
      <c r="B420" s="46" t="str">
        <f>MID(Tabelle1[[#This Row],[Artikel'#]],5,3)</f>
        <v>139</v>
      </c>
      <c r="C420" s="48" t="str">
        <f>RIGHT(Tabelle1[[#This Row],[Artikel'#]],3)</f>
        <v>032</v>
      </c>
      <c r="D420" s="46">
        <f>IF(Tabelle1[[#This Row],[Winkel2]]=select!$A$2,1,0)</f>
        <v>0</v>
      </c>
      <c r="E4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0" s="46">
        <f>IF(select!$E$16=IF(Tabelle1[[#This Row],[mit Dämpfung]]=1,1,IF(Tabelle1[[#This Row],[ohne Dämpfung]]=1,2,IF(Tabelle1[[#This Row],[ohne Feder]]=1,3,0))),1,0)</f>
        <v>1</v>
      </c>
      <c r="G420" s="46">
        <f>IF(Tabelle1[[#This Row],[Links]]=select!$I$2,1,0)</f>
        <v>0</v>
      </c>
      <c r="H420" s="46">
        <f>IF(IF(Tabelle1[[#This Row],[Anschrauben]]=1,1,IF(Tabelle1[[#This Row],[Einpressen]]=1,2,IF(Tabelle1[[#This Row],[Werkzeuglos]]=1,3,0)))=select!$E$7,1,0)</f>
        <v>0</v>
      </c>
      <c r="I420" s="46">
        <f ca="1">IF(Tabelle1[[#This Row],[Winkel]]+Tabelle1[[#This Row],[Kröpfung]]+Tabelle1[[#This Row],[Däpfung]]+Tabelle1[[#This Row],[Bohrbild]]+Tabelle1[[#This Row],[Scharnierbefestigung]]=5,1,0)</f>
        <v>0</v>
      </c>
      <c r="J420" t="str">
        <f ca="1">Sprache!$A$55</f>
        <v>TIOMOS hinge TS-Click-on</v>
      </c>
      <c r="K420" t="s">
        <v>475</v>
      </c>
      <c r="L420" t="str">
        <f ca="1">Sprache!$A$63</f>
        <v>TIOMOS Click-on hinges</v>
      </c>
      <c r="M420">
        <v>19</v>
      </c>
      <c r="N420" t="s">
        <v>15</v>
      </c>
      <c r="O420">
        <v>120</v>
      </c>
      <c r="P420">
        <v>1</v>
      </c>
      <c r="Q420">
        <v>0</v>
      </c>
      <c r="R420">
        <v>0</v>
      </c>
      <c r="S420">
        <v>1</v>
      </c>
      <c r="T420">
        <v>0</v>
      </c>
      <c r="U420">
        <v>0</v>
      </c>
      <c r="V420" s="14" t="s">
        <v>474</v>
      </c>
    </row>
    <row r="421" spans="1:22" ht="14.25" customHeight="1" x14ac:dyDescent="0.25">
      <c r="A421" s="48" t="str">
        <f>LEFT(Tabelle1[[#This Row],[Artikel'#]],4)</f>
        <v>F028</v>
      </c>
      <c r="B421" s="46" t="str">
        <f>MID(Tabelle1[[#This Row],[Artikel'#]],5,3)</f>
        <v>139</v>
      </c>
      <c r="C421" s="48" t="str">
        <f>RIGHT(Tabelle1[[#This Row],[Artikel'#]],3)</f>
        <v>033</v>
      </c>
      <c r="D421" s="46">
        <f>IF(Tabelle1[[#This Row],[Winkel2]]=select!$A$2,1,0)</f>
        <v>0</v>
      </c>
      <c r="E4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1" s="46">
        <f>IF(select!$E$16=IF(Tabelle1[[#This Row],[mit Dämpfung]]=1,1,IF(Tabelle1[[#This Row],[ohne Dämpfung]]=1,2,IF(Tabelle1[[#This Row],[ohne Feder]]=1,3,0))),1,0)</f>
        <v>1</v>
      </c>
      <c r="G421" s="46">
        <f>IF(Tabelle1[[#This Row],[Links]]=select!$I$2,1,0)</f>
        <v>0</v>
      </c>
      <c r="H421" s="46">
        <f>IF(IF(Tabelle1[[#This Row],[Anschrauben]]=1,1,IF(Tabelle1[[#This Row],[Einpressen]]=1,2,IF(Tabelle1[[#This Row],[Werkzeuglos]]=1,3,0)))=select!$E$7,1,0)</f>
        <v>1</v>
      </c>
      <c r="I421" s="46">
        <f ca="1">IF(Tabelle1[[#This Row],[Winkel]]+Tabelle1[[#This Row],[Kröpfung]]+Tabelle1[[#This Row],[Däpfung]]+Tabelle1[[#This Row],[Bohrbild]]+Tabelle1[[#This Row],[Scharnierbefestigung]]=5,1,0)</f>
        <v>0</v>
      </c>
      <c r="J421" t="str">
        <f ca="1">Sprache!$A$55</f>
        <v>TIOMOS hinge TS-Click-on</v>
      </c>
      <c r="K421" t="str">
        <f ca="1">"120°, S-BB, K19, "&amp;Sprache!A59&amp;", ni"</f>
        <v>120°, S-BB, K19, Dowel, ni</v>
      </c>
      <c r="L421" t="str">
        <f ca="1">Sprache!$A$63</f>
        <v>TIOMOS Click-on hinges</v>
      </c>
      <c r="M421">
        <v>19</v>
      </c>
      <c r="N421" t="s">
        <v>15</v>
      </c>
      <c r="O421">
        <v>120</v>
      </c>
      <c r="P421">
        <v>1</v>
      </c>
      <c r="Q421">
        <v>0</v>
      </c>
      <c r="R421">
        <v>0</v>
      </c>
      <c r="S421">
        <v>0</v>
      </c>
      <c r="T421">
        <v>1</v>
      </c>
      <c r="U421">
        <v>0</v>
      </c>
      <c r="V421" s="14" t="s">
        <v>476</v>
      </c>
    </row>
    <row r="422" spans="1:22" ht="14.25" customHeight="1" x14ac:dyDescent="0.25">
      <c r="A422" s="48" t="str">
        <f>LEFT(Tabelle1[[#This Row],[Artikel'#]],4)</f>
        <v>F045</v>
      </c>
      <c r="B422" s="46" t="str">
        <f>MID(Tabelle1[[#This Row],[Artikel'#]],5,3)</f>
        <v>138</v>
      </c>
      <c r="C422" s="48" t="str">
        <f>RIGHT(Tabelle1[[#This Row],[Artikel'#]],3)</f>
        <v>000</v>
      </c>
      <c r="D422" s="46">
        <f>IF(Tabelle1[[#This Row],[Winkel2]]=select!$A$2,1,0)</f>
        <v>1</v>
      </c>
      <c r="E4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2" s="46">
        <f>IF(select!$E$16=IF(Tabelle1[[#This Row],[mit Dämpfung]]=1,1,IF(Tabelle1[[#This Row],[ohne Dämpfung]]=1,2,IF(Tabelle1[[#This Row],[ohne Feder]]=1,3,0))),1,0)</f>
        <v>0</v>
      </c>
      <c r="G422" s="46">
        <f>IF(Tabelle1[[#This Row],[Links]]=select!$I$2,1,0)</f>
        <v>0</v>
      </c>
      <c r="H422" s="46">
        <f>IF(IF(Tabelle1[[#This Row],[Anschrauben]]=1,1,IF(Tabelle1[[#This Row],[Einpressen]]=1,2,IF(Tabelle1[[#This Row],[Werkzeuglos]]=1,3,0)))=select!$E$7,1,0)</f>
        <v>0</v>
      </c>
      <c r="I422" s="46">
        <f ca="1">IF(Tabelle1[[#This Row],[Winkel]]+Tabelle1[[#This Row],[Kröpfung]]+Tabelle1[[#This Row],[Däpfung]]+Tabelle1[[#This Row],[Bohrbild]]+Tabelle1[[#This Row],[Scharnierbefestigung]]=5,1,0)</f>
        <v>0</v>
      </c>
      <c r="J422" t="str">
        <f ca="1">Sprache!$A$53</f>
        <v>TIOMOS hinge T-Click-on</v>
      </c>
      <c r="K422" t="s">
        <v>254</v>
      </c>
      <c r="L422" t="str">
        <f ca="1">Sprache!$A$63</f>
        <v>TIOMOS Click-on hinges</v>
      </c>
      <c r="M422">
        <v>0</v>
      </c>
      <c r="N422" t="s">
        <v>12</v>
      </c>
      <c r="O422">
        <v>110</v>
      </c>
      <c r="P422">
        <v>0</v>
      </c>
      <c r="Q422">
        <v>1</v>
      </c>
      <c r="R422">
        <v>0</v>
      </c>
      <c r="S422">
        <v>1</v>
      </c>
      <c r="T422">
        <v>0</v>
      </c>
      <c r="U422">
        <v>0</v>
      </c>
      <c r="V422" s="14" t="s">
        <v>477</v>
      </c>
    </row>
    <row r="423" spans="1:22" ht="14.25" customHeight="1" x14ac:dyDescent="0.25">
      <c r="A423" s="48" t="str">
        <f>LEFT(Tabelle1[[#This Row],[Artikel'#]],4)</f>
        <v>F045</v>
      </c>
      <c r="B423" s="46" t="str">
        <f>MID(Tabelle1[[#This Row],[Artikel'#]],5,3)</f>
        <v>138</v>
      </c>
      <c r="C423" s="48" t="str">
        <f>RIGHT(Tabelle1[[#This Row],[Artikel'#]],3)</f>
        <v>001</v>
      </c>
      <c r="D423" s="46">
        <f>IF(Tabelle1[[#This Row],[Winkel2]]=select!$A$2,1,0)</f>
        <v>1</v>
      </c>
      <c r="E4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3" s="46">
        <f>IF(select!$E$16=IF(Tabelle1[[#This Row],[mit Dämpfung]]=1,1,IF(Tabelle1[[#This Row],[ohne Dämpfung]]=1,2,IF(Tabelle1[[#This Row],[ohne Feder]]=1,3,0))),1,0)</f>
        <v>0</v>
      </c>
      <c r="G423" s="46">
        <f>IF(Tabelle1[[#This Row],[Links]]=select!$I$2,1,0)</f>
        <v>0</v>
      </c>
      <c r="H423" s="46">
        <f>IF(IF(Tabelle1[[#This Row],[Anschrauben]]=1,1,IF(Tabelle1[[#This Row],[Einpressen]]=1,2,IF(Tabelle1[[#This Row],[Werkzeuglos]]=1,3,0)))=select!$E$7,1,0)</f>
        <v>0</v>
      </c>
      <c r="I423" s="46">
        <f ca="1">IF(Tabelle1[[#This Row],[Winkel]]+Tabelle1[[#This Row],[Kröpfung]]+Tabelle1[[#This Row],[Däpfung]]+Tabelle1[[#This Row],[Bohrbild]]+Tabelle1[[#This Row],[Scharnierbefestigung]]=5,1,0)</f>
        <v>0</v>
      </c>
      <c r="J423" t="str">
        <f ca="1">Sprache!$A$53</f>
        <v>TIOMOS hinge T-Click-on</v>
      </c>
      <c r="K423" t="s">
        <v>257</v>
      </c>
      <c r="L423" t="str">
        <f ca="1">Sprache!$A$63</f>
        <v>TIOMOS Click-on hinges</v>
      </c>
      <c r="M423">
        <v>3</v>
      </c>
      <c r="N423" t="s">
        <v>12</v>
      </c>
      <c r="O423">
        <v>110</v>
      </c>
      <c r="P423">
        <v>0</v>
      </c>
      <c r="Q423">
        <v>1</v>
      </c>
      <c r="R423">
        <v>0</v>
      </c>
      <c r="S423">
        <v>1</v>
      </c>
      <c r="T423">
        <v>0</v>
      </c>
      <c r="U423">
        <v>0</v>
      </c>
      <c r="V423" s="14" t="s">
        <v>479</v>
      </c>
    </row>
    <row r="424" spans="1:22" ht="14.25" customHeight="1" x14ac:dyDescent="0.25">
      <c r="A424" s="48" t="str">
        <f>LEFT(Tabelle1[[#This Row],[Artikel'#]],4)</f>
        <v>F045</v>
      </c>
      <c r="B424" s="46" t="str">
        <f>MID(Tabelle1[[#This Row],[Artikel'#]],5,3)</f>
        <v>138</v>
      </c>
      <c r="C424" s="48" t="str">
        <f>RIGHT(Tabelle1[[#This Row],[Artikel'#]],3)</f>
        <v>002</v>
      </c>
      <c r="D424" s="46">
        <f>IF(Tabelle1[[#This Row],[Winkel2]]=select!$A$2,1,0)</f>
        <v>1</v>
      </c>
      <c r="E4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24" s="46">
        <f>IF(select!$E$16=IF(Tabelle1[[#This Row],[mit Dämpfung]]=1,1,IF(Tabelle1[[#This Row],[ohne Dämpfung]]=1,2,IF(Tabelle1[[#This Row],[ohne Feder]]=1,3,0))),1,0)</f>
        <v>0</v>
      </c>
      <c r="G424" s="46">
        <f>IF(Tabelle1[[#This Row],[Links]]=select!$I$2,1,0)</f>
        <v>0</v>
      </c>
      <c r="H424" s="46">
        <f>IF(IF(Tabelle1[[#This Row],[Anschrauben]]=1,1,IF(Tabelle1[[#This Row],[Einpressen]]=1,2,IF(Tabelle1[[#This Row],[Werkzeuglos]]=1,3,0)))=select!$E$7,1,0)</f>
        <v>0</v>
      </c>
      <c r="I424" s="46">
        <f ca="1">IF(Tabelle1[[#This Row],[Winkel]]+Tabelle1[[#This Row],[Kröpfung]]+Tabelle1[[#This Row],[Däpfung]]+Tabelle1[[#This Row],[Bohrbild]]+Tabelle1[[#This Row],[Scharnierbefestigung]]=5,1,0)</f>
        <v>0</v>
      </c>
      <c r="J424" t="str">
        <f ca="1">Sprache!$A$53</f>
        <v>TIOMOS hinge T-Click-on</v>
      </c>
      <c r="K424" t="s">
        <v>259</v>
      </c>
      <c r="L424" t="str">
        <f ca="1">Sprache!$A$63</f>
        <v>TIOMOS Click-on hinges</v>
      </c>
      <c r="M424">
        <v>9.5</v>
      </c>
      <c r="N424" t="s">
        <v>12</v>
      </c>
      <c r="O424">
        <v>110</v>
      </c>
      <c r="P424">
        <v>0</v>
      </c>
      <c r="Q424">
        <v>1</v>
      </c>
      <c r="R424">
        <v>0</v>
      </c>
      <c r="S424">
        <v>1</v>
      </c>
      <c r="T424">
        <v>0</v>
      </c>
      <c r="U424">
        <v>0</v>
      </c>
      <c r="V424" s="14" t="s">
        <v>480</v>
      </c>
    </row>
    <row r="425" spans="1:22" ht="14.25" customHeight="1" x14ac:dyDescent="0.25">
      <c r="A425" s="48" t="str">
        <f>LEFT(Tabelle1[[#This Row],[Artikel'#]],4)</f>
        <v>F045</v>
      </c>
      <c r="B425" s="46" t="str">
        <f>MID(Tabelle1[[#This Row],[Artikel'#]],5,3)</f>
        <v>138</v>
      </c>
      <c r="C425" s="48" t="str">
        <f>RIGHT(Tabelle1[[#This Row],[Artikel'#]],3)</f>
        <v>003</v>
      </c>
      <c r="D425" s="46">
        <f>IF(Tabelle1[[#This Row],[Winkel2]]=select!$A$2,1,0)</f>
        <v>1</v>
      </c>
      <c r="E4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5" s="46">
        <f>IF(select!$E$16=IF(Tabelle1[[#This Row],[mit Dämpfung]]=1,1,IF(Tabelle1[[#This Row],[ohne Dämpfung]]=1,2,IF(Tabelle1[[#This Row],[ohne Feder]]=1,3,0))),1,0)</f>
        <v>0</v>
      </c>
      <c r="G425" s="46">
        <f>IF(Tabelle1[[#This Row],[Links]]=select!$I$2,1,0)</f>
        <v>0</v>
      </c>
      <c r="H425" s="46">
        <f>IF(IF(Tabelle1[[#This Row],[Anschrauben]]=1,1,IF(Tabelle1[[#This Row],[Einpressen]]=1,2,IF(Tabelle1[[#This Row],[Werkzeuglos]]=1,3,0)))=select!$E$7,1,0)</f>
        <v>0</v>
      </c>
      <c r="I425" s="46">
        <f ca="1">IF(Tabelle1[[#This Row],[Winkel]]+Tabelle1[[#This Row],[Kröpfung]]+Tabelle1[[#This Row],[Däpfung]]+Tabelle1[[#This Row],[Bohrbild]]+Tabelle1[[#This Row],[Scharnierbefestigung]]=5,1,0)</f>
        <v>0</v>
      </c>
      <c r="J425" t="str">
        <f ca="1">Sprache!$A$53</f>
        <v>TIOMOS hinge T-Click-on</v>
      </c>
      <c r="K425" t="s">
        <v>261</v>
      </c>
      <c r="L425" t="str">
        <f ca="1">Sprache!$A$63</f>
        <v>TIOMOS Click-on hinges</v>
      </c>
      <c r="M425">
        <v>19</v>
      </c>
      <c r="N425" t="s">
        <v>12</v>
      </c>
      <c r="O425">
        <v>110</v>
      </c>
      <c r="P425">
        <v>0</v>
      </c>
      <c r="Q425">
        <v>1</v>
      </c>
      <c r="R425">
        <v>0</v>
      </c>
      <c r="S425">
        <v>1</v>
      </c>
      <c r="T425">
        <v>0</v>
      </c>
      <c r="U425">
        <v>0</v>
      </c>
      <c r="V425" s="14" t="s">
        <v>481</v>
      </c>
    </row>
    <row r="426" spans="1:22" ht="14.25" customHeight="1" x14ac:dyDescent="0.25">
      <c r="A426" s="48" t="str">
        <f>LEFT(Tabelle1[[#This Row],[Artikel'#]],4)</f>
        <v>F045</v>
      </c>
      <c r="B426" s="46" t="str">
        <f>MID(Tabelle1[[#This Row],[Artikel'#]],5,3)</f>
        <v>138</v>
      </c>
      <c r="C426" s="48" t="str">
        <f>RIGHT(Tabelle1[[#This Row],[Artikel'#]],3)</f>
        <v>004</v>
      </c>
      <c r="D426" s="46">
        <f>IF(Tabelle1[[#This Row],[Winkel2]]=select!$A$2,1,0)</f>
        <v>1</v>
      </c>
      <c r="E4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6" s="46">
        <f>IF(select!$E$16=IF(Tabelle1[[#This Row],[mit Dämpfung]]=1,1,IF(Tabelle1[[#This Row],[ohne Dämpfung]]=1,2,IF(Tabelle1[[#This Row],[ohne Feder]]=1,3,0))),1,0)</f>
        <v>0</v>
      </c>
      <c r="G426" s="46">
        <f>IF(Tabelle1[[#This Row],[Links]]=select!$I$2,1,0)</f>
        <v>0</v>
      </c>
      <c r="H426" s="46">
        <f>IF(IF(Tabelle1[[#This Row],[Anschrauben]]=1,1,IF(Tabelle1[[#This Row],[Einpressen]]=1,2,IF(Tabelle1[[#This Row],[Werkzeuglos]]=1,3,0)))=select!$E$7,1,0)</f>
        <v>1</v>
      </c>
      <c r="I426" s="46">
        <f ca="1">IF(Tabelle1[[#This Row],[Winkel]]+Tabelle1[[#This Row],[Kröpfung]]+Tabelle1[[#This Row],[Däpfung]]+Tabelle1[[#This Row],[Bohrbild]]+Tabelle1[[#This Row],[Scharnierbefestigung]]=5,1,0)</f>
        <v>0</v>
      </c>
      <c r="J426" t="str">
        <f ca="1">Sprache!$A$53</f>
        <v>TIOMOS hinge T-Click-on</v>
      </c>
      <c r="K426" t="str">
        <f ca="1">"110°, M-BB, K00, "&amp;Sprache!A59&amp;", ni"</f>
        <v>110°, M-BB, K00, Dowel, ni</v>
      </c>
      <c r="L426" t="str">
        <f ca="1">Sprache!$A$63</f>
        <v>TIOMOS Click-on hinges</v>
      </c>
      <c r="M426">
        <v>0</v>
      </c>
      <c r="N426" t="s">
        <v>12</v>
      </c>
      <c r="O426">
        <v>110</v>
      </c>
      <c r="P426">
        <v>0</v>
      </c>
      <c r="Q426">
        <v>1</v>
      </c>
      <c r="R426">
        <v>0</v>
      </c>
      <c r="S426">
        <v>0</v>
      </c>
      <c r="T426">
        <v>1</v>
      </c>
      <c r="U426">
        <v>0</v>
      </c>
      <c r="V426" s="14" t="s">
        <v>482</v>
      </c>
    </row>
    <row r="427" spans="1:22" ht="14.25" customHeight="1" x14ac:dyDescent="0.25">
      <c r="A427" s="48" t="str">
        <f>LEFT(Tabelle1[[#This Row],[Artikel'#]],4)</f>
        <v>F045</v>
      </c>
      <c r="B427" s="46" t="str">
        <f>MID(Tabelle1[[#This Row],[Artikel'#]],5,3)</f>
        <v>138</v>
      </c>
      <c r="C427" s="48" t="str">
        <f>RIGHT(Tabelle1[[#This Row],[Artikel'#]],3)</f>
        <v>005</v>
      </c>
      <c r="D427" s="46">
        <f>IF(Tabelle1[[#This Row],[Winkel2]]=select!$A$2,1,0)</f>
        <v>1</v>
      </c>
      <c r="E4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7" s="46">
        <f>IF(select!$E$16=IF(Tabelle1[[#This Row],[mit Dämpfung]]=1,1,IF(Tabelle1[[#This Row],[ohne Dämpfung]]=1,2,IF(Tabelle1[[#This Row],[ohne Feder]]=1,3,0))),1,0)</f>
        <v>0</v>
      </c>
      <c r="G427" s="46">
        <f>IF(Tabelle1[[#This Row],[Links]]=select!$I$2,1,0)</f>
        <v>0</v>
      </c>
      <c r="H427" s="46">
        <f>IF(IF(Tabelle1[[#This Row],[Anschrauben]]=1,1,IF(Tabelle1[[#This Row],[Einpressen]]=1,2,IF(Tabelle1[[#This Row],[Werkzeuglos]]=1,3,0)))=select!$E$7,1,0)</f>
        <v>1</v>
      </c>
      <c r="I427" s="46">
        <f ca="1">IF(Tabelle1[[#This Row],[Winkel]]+Tabelle1[[#This Row],[Kröpfung]]+Tabelle1[[#This Row],[Däpfung]]+Tabelle1[[#This Row],[Bohrbild]]+Tabelle1[[#This Row],[Scharnierbefestigung]]=5,1,0)</f>
        <v>0</v>
      </c>
      <c r="J427" t="str">
        <f ca="1">Sprache!$A$53</f>
        <v>TIOMOS hinge T-Click-on</v>
      </c>
      <c r="K427" t="str">
        <f ca="1">"110°, M-BB, K03, "&amp;Sprache!A59&amp;", ni"</f>
        <v>110°, M-BB, K03, Dowel, ni</v>
      </c>
      <c r="L427" t="str">
        <f ca="1">Sprache!$A$63</f>
        <v>TIOMOS Click-on hinges</v>
      </c>
      <c r="M427">
        <v>3</v>
      </c>
      <c r="N427" t="s">
        <v>12</v>
      </c>
      <c r="O427">
        <v>110</v>
      </c>
      <c r="P427">
        <v>0</v>
      </c>
      <c r="Q427">
        <v>1</v>
      </c>
      <c r="R427">
        <v>0</v>
      </c>
      <c r="S427">
        <v>0</v>
      </c>
      <c r="T427">
        <v>1</v>
      </c>
      <c r="U427">
        <v>0</v>
      </c>
      <c r="V427" s="14" t="s">
        <v>483</v>
      </c>
    </row>
    <row r="428" spans="1:22" ht="14.25" customHeight="1" x14ac:dyDescent="0.25">
      <c r="A428" s="48" t="str">
        <f>LEFT(Tabelle1[[#This Row],[Artikel'#]],4)</f>
        <v>F045</v>
      </c>
      <c r="B428" s="46" t="str">
        <f>MID(Tabelle1[[#This Row],[Artikel'#]],5,3)</f>
        <v>138</v>
      </c>
      <c r="C428" s="48" t="str">
        <f>RIGHT(Tabelle1[[#This Row],[Artikel'#]],3)</f>
        <v>006</v>
      </c>
      <c r="D428" s="46">
        <f>IF(Tabelle1[[#This Row],[Winkel2]]=select!$A$2,1,0)</f>
        <v>1</v>
      </c>
      <c r="E4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28" s="46">
        <f>IF(select!$E$16=IF(Tabelle1[[#This Row],[mit Dämpfung]]=1,1,IF(Tabelle1[[#This Row],[ohne Dämpfung]]=1,2,IF(Tabelle1[[#This Row],[ohne Feder]]=1,3,0))),1,0)</f>
        <v>0</v>
      </c>
      <c r="G428" s="46">
        <f>IF(Tabelle1[[#This Row],[Links]]=select!$I$2,1,0)</f>
        <v>0</v>
      </c>
      <c r="H428" s="46">
        <f>IF(IF(Tabelle1[[#This Row],[Anschrauben]]=1,1,IF(Tabelle1[[#This Row],[Einpressen]]=1,2,IF(Tabelle1[[#This Row],[Werkzeuglos]]=1,3,0)))=select!$E$7,1,0)</f>
        <v>1</v>
      </c>
      <c r="I428" s="46">
        <f ca="1">IF(Tabelle1[[#This Row],[Winkel]]+Tabelle1[[#This Row],[Kröpfung]]+Tabelle1[[#This Row],[Däpfung]]+Tabelle1[[#This Row],[Bohrbild]]+Tabelle1[[#This Row],[Scharnierbefestigung]]=5,1,0)</f>
        <v>0</v>
      </c>
      <c r="J428" t="str">
        <f ca="1">Sprache!$A$53</f>
        <v>TIOMOS hinge T-Click-on</v>
      </c>
      <c r="K428" t="str">
        <f ca="1">"110°, M-BB, K95, "&amp;Sprache!A59&amp;", ni"</f>
        <v>110°, M-BB, K95, Dowel, ni</v>
      </c>
      <c r="L428" t="str">
        <f ca="1">Sprache!$A$63</f>
        <v>TIOMOS Click-on hinges</v>
      </c>
      <c r="M428">
        <v>9.5</v>
      </c>
      <c r="N428" t="s">
        <v>12</v>
      </c>
      <c r="O428">
        <v>110</v>
      </c>
      <c r="P428">
        <v>0</v>
      </c>
      <c r="Q428">
        <v>1</v>
      </c>
      <c r="R428">
        <v>0</v>
      </c>
      <c r="S428">
        <v>0</v>
      </c>
      <c r="T428">
        <v>1</v>
      </c>
      <c r="U428">
        <v>0</v>
      </c>
      <c r="V428" s="14" t="s">
        <v>484</v>
      </c>
    </row>
    <row r="429" spans="1:22" ht="14.25" customHeight="1" x14ac:dyDescent="0.25">
      <c r="A429" s="48" t="str">
        <f>LEFT(Tabelle1[[#This Row],[Artikel'#]],4)</f>
        <v>F045</v>
      </c>
      <c r="B429" s="46" t="str">
        <f>MID(Tabelle1[[#This Row],[Artikel'#]],5,3)</f>
        <v>138</v>
      </c>
      <c r="C429" s="48" t="str">
        <f>RIGHT(Tabelle1[[#This Row],[Artikel'#]],3)</f>
        <v>007</v>
      </c>
      <c r="D429" s="46">
        <f>IF(Tabelle1[[#This Row],[Winkel2]]=select!$A$2,1,0)</f>
        <v>1</v>
      </c>
      <c r="E4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29" s="46">
        <f>IF(select!$E$16=IF(Tabelle1[[#This Row],[mit Dämpfung]]=1,1,IF(Tabelle1[[#This Row],[ohne Dämpfung]]=1,2,IF(Tabelle1[[#This Row],[ohne Feder]]=1,3,0))),1,0)</f>
        <v>0</v>
      </c>
      <c r="G429" s="46">
        <f>IF(Tabelle1[[#This Row],[Links]]=select!$I$2,1,0)</f>
        <v>0</v>
      </c>
      <c r="H429" s="46">
        <f>IF(IF(Tabelle1[[#This Row],[Anschrauben]]=1,1,IF(Tabelle1[[#This Row],[Einpressen]]=1,2,IF(Tabelle1[[#This Row],[Werkzeuglos]]=1,3,0)))=select!$E$7,1,0)</f>
        <v>1</v>
      </c>
      <c r="I429" s="46">
        <f ca="1">IF(Tabelle1[[#This Row],[Winkel]]+Tabelle1[[#This Row],[Kröpfung]]+Tabelle1[[#This Row],[Däpfung]]+Tabelle1[[#This Row],[Bohrbild]]+Tabelle1[[#This Row],[Scharnierbefestigung]]=5,1,0)</f>
        <v>0</v>
      </c>
      <c r="J429" t="str">
        <f ca="1">Sprache!$A$53</f>
        <v>TIOMOS hinge T-Click-on</v>
      </c>
      <c r="K429" t="str">
        <f ca="1">"110°, M-BB, K19, "&amp;Sprache!A59&amp;", ni"</f>
        <v>110°, M-BB, K19, Dowel, ni</v>
      </c>
      <c r="L429" t="str">
        <f ca="1">Sprache!$A$63</f>
        <v>TIOMOS Click-on hinges</v>
      </c>
      <c r="M429">
        <v>19</v>
      </c>
      <c r="N429" t="s">
        <v>12</v>
      </c>
      <c r="O429">
        <v>110</v>
      </c>
      <c r="P429">
        <v>0</v>
      </c>
      <c r="Q429">
        <v>1</v>
      </c>
      <c r="R429">
        <v>0</v>
      </c>
      <c r="S429">
        <v>0</v>
      </c>
      <c r="T429">
        <v>1</v>
      </c>
      <c r="U429">
        <v>0</v>
      </c>
      <c r="V429" s="14" t="s">
        <v>485</v>
      </c>
    </row>
    <row r="430" spans="1:22" ht="14.25" customHeight="1" x14ac:dyDescent="0.25">
      <c r="A430" s="48" t="str">
        <f>LEFT(Tabelle1[[#This Row],[Artikel'#]],4)</f>
        <v>F045</v>
      </c>
      <c r="B430" s="46" t="str">
        <f>MID(Tabelle1[[#This Row],[Artikel'#]],5,3)</f>
        <v>138</v>
      </c>
      <c r="C430" s="48" t="str">
        <f>RIGHT(Tabelle1[[#This Row],[Artikel'#]],3)</f>
        <v>028</v>
      </c>
      <c r="D430" s="46">
        <f>IF(Tabelle1[[#This Row],[Winkel2]]=select!$A$2,1,0)</f>
        <v>0</v>
      </c>
      <c r="E4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0" s="46">
        <f>IF(select!$E$16=IF(Tabelle1[[#This Row],[mit Dämpfung]]=1,1,IF(Tabelle1[[#This Row],[ohne Dämpfung]]=1,2,IF(Tabelle1[[#This Row],[ohne Feder]]=1,3,0))),1,0)</f>
        <v>0</v>
      </c>
      <c r="G430" s="46">
        <f>IF(Tabelle1[[#This Row],[Links]]=select!$I$2,1,0)</f>
        <v>0</v>
      </c>
      <c r="H430" s="46">
        <f>IF(IF(Tabelle1[[#This Row],[Anschrauben]]=1,1,IF(Tabelle1[[#This Row],[Einpressen]]=1,2,IF(Tabelle1[[#This Row],[Werkzeuglos]]=1,3,0)))=select!$E$7,1,0)</f>
        <v>0</v>
      </c>
      <c r="I430" s="46">
        <f ca="1">IF(Tabelle1[[#This Row],[Winkel]]+Tabelle1[[#This Row],[Kröpfung]]+Tabelle1[[#This Row],[Däpfung]]+Tabelle1[[#This Row],[Bohrbild]]+Tabelle1[[#This Row],[Scharnierbefestigung]]=5,1,0)</f>
        <v>0</v>
      </c>
      <c r="J430" t="str">
        <f ca="1">Sprache!$A$53</f>
        <v>TIOMOS hinge T-Click-on</v>
      </c>
      <c r="K430" t="s">
        <v>267</v>
      </c>
      <c r="L430" t="str">
        <f ca="1">Sprache!$A$63</f>
        <v>TIOMOS Click-on hinges</v>
      </c>
      <c r="M430">
        <v>0</v>
      </c>
      <c r="N430" t="s">
        <v>12</v>
      </c>
      <c r="O430">
        <v>120</v>
      </c>
      <c r="P430">
        <v>0</v>
      </c>
      <c r="Q430">
        <v>1</v>
      </c>
      <c r="R430">
        <v>0</v>
      </c>
      <c r="S430">
        <v>1</v>
      </c>
      <c r="T430">
        <v>0</v>
      </c>
      <c r="U430">
        <v>0</v>
      </c>
      <c r="V430" s="14" t="s">
        <v>486</v>
      </c>
    </row>
    <row r="431" spans="1:22" ht="14.25" customHeight="1" x14ac:dyDescent="0.25">
      <c r="A431" s="48" t="str">
        <f>LEFT(Tabelle1[[#This Row],[Artikel'#]],4)</f>
        <v>F045</v>
      </c>
      <c r="B431" s="46" t="str">
        <f>MID(Tabelle1[[#This Row],[Artikel'#]],5,3)</f>
        <v>138</v>
      </c>
      <c r="C431" s="48" t="str">
        <f>RIGHT(Tabelle1[[#This Row],[Artikel'#]],3)</f>
        <v>029</v>
      </c>
      <c r="D431" s="46">
        <f>IF(Tabelle1[[#This Row],[Winkel2]]=select!$A$2,1,0)</f>
        <v>0</v>
      </c>
      <c r="E4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1" s="46">
        <f>IF(select!$E$16=IF(Tabelle1[[#This Row],[mit Dämpfung]]=1,1,IF(Tabelle1[[#This Row],[ohne Dämpfung]]=1,2,IF(Tabelle1[[#This Row],[ohne Feder]]=1,3,0))),1,0)</f>
        <v>0</v>
      </c>
      <c r="G431" s="46">
        <f>IF(Tabelle1[[#This Row],[Links]]=select!$I$2,1,0)</f>
        <v>0</v>
      </c>
      <c r="H431" s="46">
        <f>IF(IF(Tabelle1[[#This Row],[Anschrauben]]=1,1,IF(Tabelle1[[#This Row],[Einpressen]]=1,2,IF(Tabelle1[[#This Row],[Werkzeuglos]]=1,3,0)))=select!$E$7,1,0)</f>
        <v>0</v>
      </c>
      <c r="I431" s="46">
        <f ca="1">IF(Tabelle1[[#This Row],[Winkel]]+Tabelle1[[#This Row],[Kröpfung]]+Tabelle1[[#This Row],[Däpfung]]+Tabelle1[[#This Row],[Bohrbild]]+Tabelle1[[#This Row],[Scharnierbefestigung]]=5,1,0)</f>
        <v>0</v>
      </c>
      <c r="J431" t="str">
        <f ca="1">Sprache!$A$53</f>
        <v>TIOMOS hinge T-Click-on</v>
      </c>
      <c r="K431" t="s">
        <v>269</v>
      </c>
      <c r="L431" t="str">
        <f ca="1">Sprache!$A$63</f>
        <v>TIOMOS Click-on hinges</v>
      </c>
      <c r="M431">
        <v>3</v>
      </c>
      <c r="N431" t="s">
        <v>12</v>
      </c>
      <c r="O431">
        <v>120</v>
      </c>
      <c r="P431">
        <v>0</v>
      </c>
      <c r="Q431">
        <v>1</v>
      </c>
      <c r="R431">
        <v>0</v>
      </c>
      <c r="S431">
        <v>1</v>
      </c>
      <c r="T431">
        <v>0</v>
      </c>
      <c r="U431">
        <v>0</v>
      </c>
      <c r="V431" s="14" t="s">
        <v>487</v>
      </c>
    </row>
    <row r="432" spans="1:22" ht="14.25" customHeight="1" x14ac:dyDescent="0.25">
      <c r="A432" s="48" t="str">
        <f>LEFT(Tabelle1[[#This Row],[Artikel'#]],4)</f>
        <v>F045</v>
      </c>
      <c r="B432" s="46" t="str">
        <f>MID(Tabelle1[[#This Row],[Artikel'#]],5,3)</f>
        <v>138</v>
      </c>
      <c r="C432" s="48" t="str">
        <f>RIGHT(Tabelle1[[#This Row],[Artikel'#]],3)</f>
        <v>030</v>
      </c>
      <c r="D432" s="46">
        <f>IF(Tabelle1[[#This Row],[Winkel2]]=select!$A$2,1,0)</f>
        <v>0</v>
      </c>
      <c r="E4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32" s="46">
        <f>IF(select!$E$16=IF(Tabelle1[[#This Row],[mit Dämpfung]]=1,1,IF(Tabelle1[[#This Row],[ohne Dämpfung]]=1,2,IF(Tabelle1[[#This Row],[ohne Feder]]=1,3,0))),1,0)</f>
        <v>0</v>
      </c>
      <c r="G432" s="46">
        <f>IF(Tabelle1[[#This Row],[Links]]=select!$I$2,1,0)</f>
        <v>0</v>
      </c>
      <c r="H432" s="46">
        <f>IF(IF(Tabelle1[[#This Row],[Anschrauben]]=1,1,IF(Tabelle1[[#This Row],[Einpressen]]=1,2,IF(Tabelle1[[#This Row],[Werkzeuglos]]=1,3,0)))=select!$E$7,1,0)</f>
        <v>0</v>
      </c>
      <c r="I432" s="46">
        <f ca="1">IF(Tabelle1[[#This Row],[Winkel]]+Tabelle1[[#This Row],[Kröpfung]]+Tabelle1[[#This Row],[Däpfung]]+Tabelle1[[#This Row],[Bohrbild]]+Tabelle1[[#This Row],[Scharnierbefestigung]]=5,1,0)</f>
        <v>0</v>
      </c>
      <c r="J432" t="str">
        <f ca="1">Sprache!$A$53</f>
        <v>TIOMOS hinge T-Click-on</v>
      </c>
      <c r="K432" t="s">
        <v>271</v>
      </c>
      <c r="L432" t="str">
        <f ca="1">Sprache!$A$63</f>
        <v>TIOMOS Click-on hinges</v>
      </c>
      <c r="M432">
        <v>9.5</v>
      </c>
      <c r="N432" t="s">
        <v>12</v>
      </c>
      <c r="O432">
        <v>120</v>
      </c>
      <c r="P432">
        <v>0</v>
      </c>
      <c r="Q432">
        <v>1</v>
      </c>
      <c r="R432">
        <v>0</v>
      </c>
      <c r="S432">
        <v>1</v>
      </c>
      <c r="T432">
        <v>0</v>
      </c>
      <c r="U432">
        <v>0</v>
      </c>
      <c r="V432" s="14" t="s">
        <v>488</v>
      </c>
    </row>
    <row r="433" spans="1:22" ht="14.25" customHeight="1" x14ac:dyDescent="0.25">
      <c r="A433" s="48" t="str">
        <f>LEFT(Tabelle1[[#This Row],[Artikel'#]],4)</f>
        <v>F045</v>
      </c>
      <c r="B433" s="46" t="str">
        <f>MID(Tabelle1[[#This Row],[Artikel'#]],5,3)</f>
        <v>138</v>
      </c>
      <c r="C433" s="48" t="str">
        <f>RIGHT(Tabelle1[[#This Row],[Artikel'#]],3)</f>
        <v>032</v>
      </c>
      <c r="D433" s="46">
        <f>IF(Tabelle1[[#This Row],[Winkel2]]=select!$A$2,1,0)</f>
        <v>0</v>
      </c>
      <c r="E4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3" s="46">
        <f>IF(select!$E$16=IF(Tabelle1[[#This Row],[mit Dämpfung]]=1,1,IF(Tabelle1[[#This Row],[ohne Dämpfung]]=1,2,IF(Tabelle1[[#This Row],[ohne Feder]]=1,3,0))),1,0)</f>
        <v>0</v>
      </c>
      <c r="G433" s="46">
        <f>IF(Tabelle1[[#This Row],[Links]]=select!$I$2,1,0)</f>
        <v>0</v>
      </c>
      <c r="H433" s="46">
        <f>IF(IF(Tabelle1[[#This Row],[Anschrauben]]=1,1,IF(Tabelle1[[#This Row],[Einpressen]]=1,2,IF(Tabelle1[[#This Row],[Werkzeuglos]]=1,3,0)))=select!$E$7,1,0)</f>
        <v>1</v>
      </c>
      <c r="I433" s="46">
        <f ca="1">IF(Tabelle1[[#This Row],[Winkel]]+Tabelle1[[#This Row],[Kröpfung]]+Tabelle1[[#This Row],[Däpfung]]+Tabelle1[[#This Row],[Bohrbild]]+Tabelle1[[#This Row],[Scharnierbefestigung]]=5,1,0)</f>
        <v>0</v>
      </c>
      <c r="J433" t="str">
        <f ca="1">Sprache!$A$53</f>
        <v>TIOMOS hinge T-Click-on</v>
      </c>
      <c r="K433" t="str">
        <f ca="1">"120°, M-BB, K00, "&amp;Sprache!A59&amp;", ni"</f>
        <v>120°, M-BB, K00, Dowel, ni</v>
      </c>
      <c r="L433" t="str">
        <f ca="1">Sprache!$A$63</f>
        <v>TIOMOS Click-on hinges</v>
      </c>
      <c r="M433">
        <v>0</v>
      </c>
      <c r="N433" t="s">
        <v>12</v>
      </c>
      <c r="O433">
        <v>120</v>
      </c>
      <c r="P433">
        <v>0</v>
      </c>
      <c r="Q433">
        <v>1</v>
      </c>
      <c r="R433">
        <v>0</v>
      </c>
      <c r="S433">
        <v>0</v>
      </c>
      <c r="T433">
        <v>1</v>
      </c>
      <c r="U433">
        <v>0</v>
      </c>
      <c r="V433" s="14" t="s">
        <v>489</v>
      </c>
    </row>
    <row r="434" spans="1:22" ht="14.25" customHeight="1" x14ac:dyDescent="0.25">
      <c r="A434" s="48" t="str">
        <f>LEFT(Tabelle1[[#This Row],[Artikel'#]],4)</f>
        <v>F045</v>
      </c>
      <c r="B434" s="46" t="str">
        <f>MID(Tabelle1[[#This Row],[Artikel'#]],5,3)</f>
        <v>138</v>
      </c>
      <c r="C434" s="48" t="str">
        <f>RIGHT(Tabelle1[[#This Row],[Artikel'#]],3)</f>
        <v>033</v>
      </c>
      <c r="D434" s="46">
        <f>IF(Tabelle1[[#This Row],[Winkel2]]=select!$A$2,1,0)</f>
        <v>0</v>
      </c>
      <c r="E4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4" s="46">
        <f>IF(select!$E$16=IF(Tabelle1[[#This Row],[mit Dämpfung]]=1,1,IF(Tabelle1[[#This Row],[ohne Dämpfung]]=1,2,IF(Tabelle1[[#This Row],[ohne Feder]]=1,3,0))),1,0)</f>
        <v>0</v>
      </c>
      <c r="G434" s="46">
        <f>IF(Tabelle1[[#This Row],[Links]]=select!$I$2,1,0)</f>
        <v>0</v>
      </c>
      <c r="H434" s="46">
        <f>IF(IF(Tabelle1[[#This Row],[Anschrauben]]=1,1,IF(Tabelle1[[#This Row],[Einpressen]]=1,2,IF(Tabelle1[[#This Row],[Werkzeuglos]]=1,3,0)))=select!$E$7,1,0)</f>
        <v>1</v>
      </c>
      <c r="I434" s="46">
        <f ca="1">IF(Tabelle1[[#This Row],[Winkel]]+Tabelle1[[#This Row],[Kröpfung]]+Tabelle1[[#This Row],[Däpfung]]+Tabelle1[[#This Row],[Bohrbild]]+Tabelle1[[#This Row],[Scharnierbefestigung]]=5,1,0)</f>
        <v>0</v>
      </c>
      <c r="J434" t="str">
        <f ca="1">Sprache!$A$53</f>
        <v>TIOMOS hinge T-Click-on</v>
      </c>
      <c r="K434" t="str">
        <f ca="1">"120°, M-BB, K03, "&amp;Sprache!A59&amp;", ni"</f>
        <v>120°, M-BB, K03, Dowel, ni</v>
      </c>
      <c r="L434" t="str">
        <f ca="1">Sprache!$A$63</f>
        <v>TIOMOS Click-on hinges</v>
      </c>
      <c r="M434">
        <v>3</v>
      </c>
      <c r="N434" t="s">
        <v>12</v>
      </c>
      <c r="O434">
        <v>120</v>
      </c>
      <c r="P434">
        <v>0</v>
      </c>
      <c r="Q434">
        <v>1</v>
      </c>
      <c r="R434">
        <v>0</v>
      </c>
      <c r="S434">
        <v>0</v>
      </c>
      <c r="T434">
        <v>1</v>
      </c>
      <c r="U434">
        <v>0</v>
      </c>
      <c r="V434" s="14" t="s">
        <v>490</v>
      </c>
    </row>
    <row r="435" spans="1:22" ht="14.25" customHeight="1" x14ac:dyDescent="0.25">
      <c r="A435" s="48" t="str">
        <f>LEFT(Tabelle1[[#This Row],[Artikel'#]],4)</f>
        <v>F045</v>
      </c>
      <c r="B435" s="46" t="str">
        <f>MID(Tabelle1[[#This Row],[Artikel'#]],5,3)</f>
        <v>138</v>
      </c>
      <c r="C435" s="48" t="str">
        <f>RIGHT(Tabelle1[[#This Row],[Artikel'#]],3)</f>
        <v>034</v>
      </c>
      <c r="D435" s="46">
        <f>IF(Tabelle1[[#This Row],[Winkel2]]=select!$A$2,1,0)</f>
        <v>0</v>
      </c>
      <c r="E4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35" s="46">
        <f>IF(select!$E$16=IF(Tabelle1[[#This Row],[mit Dämpfung]]=1,1,IF(Tabelle1[[#This Row],[ohne Dämpfung]]=1,2,IF(Tabelle1[[#This Row],[ohne Feder]]=1,3,0))),1,0)</f>
        <v>0</v>
      </c>
      <c r="G435" s="46">
        <f>IF(Tabelle1[[#This Row],[Links]]=select!$I$2,1,0)</f>
        <v>0</v>
      </c>
      <c r="H435" s="46">
        <f>IF(IF(Tabelle1[[#This Row],[Anschrauben]]=1,1,IF(Tabelle1[[#This Row],[Einpressen]]=1,2,IF(Tabelle1[[#This Row],[Werkzeuglos]]=1,3,0)))=select!$E$7,1,0)</f>
        <v>1</v>
      </c>
      <c r="I435" s="46">
        <f ca="1">IF(Tabelle1[[#This Row],[Winkel]]+Tabelle1[[#This Row],[Kröpfung]]+Tabelle1[[#This Row],[Däpfung]]+Tabelle1[[#This Row],[Bohrbild]]+Tabelle1[[#This Row],[Scharnierbefestigung]]=5,1,0)</f>
        <v>0</v>
      </c>
      <c r="J435" t="str">
        <f ca="1">Sprache!$A$53</f>
        <v>TIOMOS hinge T-Click-on</v>
      </c>
      <c r="K435" t="str">
        <f ca="1">"120°, M-BB, K95, "&amp;Sprache!A59&amp;", ni"</f>
        <v>120°, M-BB, K95, Dowel, ni</v>
      </c>
      <c r="L435" t="str">
        <f ca="1">Sprache!$A$63</f>
        <v>TIOMOS Click-on hinges</v>
      </c>
      <c r="M435">
        <v>9.5</v>
      </c>
      <c r="N435" t="s">
        <v>12</v>
      </c>
      <c r="O435">
        <v>120</v>
      </c>
      <c r="P435">
        <v>0</v>
      </c>
      <c r="Q435">
        <v>1</v>
      </c>
      <c r="R435">
        <v>0</v>
      </c>
      <c r="S435">
        <v>0</v>
      </c>
      <c r="T435">
        <v>1</v>
      </c>
      <c r="U435">
        <v>0</v>
      </c>
      <c r="V435" s="14" t="s">
        <v>491</v>
      </c>
    </row>
    <row r="436" spans="1:22" ht="14.25" customHeight="1" x14ac:dyDescent="0.25">
      <c r="A436" s="48" t="str">
        <f>LEFT(Tabelle1[[#This Row],[Artikel'#]],4)</f>
        <v>F045</v>
      </c>
      <c r="B436" s="46" t="str">
        <f>MID(Tabelle1[[#This Row],[Artikel'#]],5,3)</f>
        <v>138</v>
      </c>
      <c r="C436" s="48" t="str">
        <f>RIGHT(Tabelle1[[#This Row],[Artikel'#]],3)</f>
        <v>042</v>
      </c>
      <c r="D436" s="46">
        <f>IF(Tabelle1[[#This Row],[Winkel2]]=select!$A$2,1,0)</f>
        <v>0</v>
      </c>
      <c r="E4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6" s="46">
        <f>IF(select!$E$16=IF(Tabelle1[[#This Row],[mit Dämpfung]]=1,1,IF(Tabelle1[[#This Row],[ohne Dämpfung]]=1,2,IF(Tabelle1[[#This Row],[ohne Feder]]=1,3,0))),1,0)</f>
        <v>0</v>
      </c>
      <c r="G436" s="46">
        <f>IF(Tabelle1[[#This Row],[Links]]=select!$I$2,1,0)</f>
        <v>0</v>
      </c>
      <c r="H436" s="46">
        <f>IF(IF(Tabelle1[[#This Row],[Anschrauben]]=1,1,IF(Tabelle1[[#This Row],[Einpressen]]=1,2,IF(Tabelle1[[#This Row],[Werkzeuglos]]=1,3,0)))=select!$E$7,1,0)</f>
        <v>0</v>
      </c>
      <c r="I436" s="46">
        <f ca="1">IF(Tabelle1[[#This Row],[Winkel]]+Tabelle1[[#This Row],[Kröpfung]]+Tabelle1[[#This Row],[Däpfung]]+Tabelle1[[#This Row],[Bohrbild]]+Tabelle1[[#This Row],[Scharnierbefestigung]]=5,1,0)</f>
        <v>0</v>
      </c>
      <c r="J436" t="str">
        <f ca="1">Sprache!$A$53</f>
        <v>TIOMOS hinge T-Click-on</v>
      </c>
      <c r="K436" t="s">
        <v>276</v>
      </c>
      <c r="L436" t="str">
        <f ca="1">Sprache!$A$63</f>
        <v>TIOMOS Click-on hinges</v>
      </c>
      <c r="M436">
        <v>0</v>
      </c>
      <c r="N436" s="13" t="s">
        <v>12</v>
      </c>
      <c r="O436">
        <v>160</v>
      </c>
      <c r="P436">
        <v>0</v>
      </c>
      <c r="Q436">
        <v>1</v>
      </c>
      <c r="R436">
        <v>0</v>
      </c>
      <c r="S436">
        <v>1</v>
      </c>
      <c r="T436">
        <v>0</v>
      </c>
      <c r="U436">
        <v>0</v>
      </c>
      <c r="V436" s="14" t="s">
        <v>492</v>
      </c>
    </row>
    <row r="437" spans="1:22" ht="14.25" customHeight="1" x14ac:dyDescent="0.25">
      <c r="A437" s="48" t="str">
        <f>LEFT(Tabelle1[[#This Row],[Artikel'#]],4)</f>
        <v>F045</v>
      </c>
      <c r="B437" s="46" t="str">
        <f>MID(Tabelle1[[#This Row],[Artikel'#]],5,3)</f>
        <v>138</v>
      </c>
      <c r="C437" s="48" t="str">
        <f>RIGHT(Tabelle1[[#This Row],[Artikel'#]],3)</f>
        <v>043</v>
      </c>
      <c r="D437" s="46">
        <f>IF(Tabelle1[[#This Row],[Winkel2]]=select!$A$2,1,0)</f>
        <v>0</v>
      </c>
      <c r="E4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7" s="46">
        <f>IF(select!$E$16=IF(Tabelle1[[#This Row],[mit Dämpfung]]=1,1,IF(Tabelle1[[#This Row],[ohne Dämpfung]]=1,2,IF(Tabelle1[[#This Row],[ohne Feder]]=1,3,0))),1,0)</f>
        <v>0</v>
      </c>
      <c r="G437" s="46">
        <f>IF(Tabelle1[[#This Row],[Links]]=select!$I$2,1,0)</f>
        <v>0</v>
      </c>
      <c r="H437" s="46">
        <f>IF(IF(Tabelle1[[#This Row],[Anschrauben]]=1,1,IF(Tabelle1[[#This Row],[Einpressen]]=1,2,IF(Tabelle1[[#This Row],[Werkzeuglos]]=1,3,0)))=select!$E$7,1,0)</f>
        <v>0</v>
      </c>
      <c r="I437" s="46">
        <f ca="1">IF(Tabelle1[[#This Row],[Winkel]]+Tabelle1[[#This Row],[Kröpfung]]+Tabelle1[[#This Row],[Däpfung]]+Tabelle1[[#This Row],[Bohrbild]]+Tabelle1[[#This Row],[Scharnierbefestigung]]=5,1,0)</f>
        <v>0</v>
      </c>
      <c r="J437" t="str">
        <f ca="1">Sprache!$A$53</f>
        <v>TIOMOS hinge T-Click-on</v>
      </c>
      <c r="K437" t="s">
        <v>278</v>
      </c>
      <c r="L437" t="str">
        <f ca="1">Sprache!$A$63</f>
        <v>TIOMOS Click-on hinges</v>
      </c>
      <c r="M437">
        <v>3</v>
      </c>
      <c r="N437" t="s">
        <v>12</v>
      </c>
      <c r="O437">
        <v>160</v>
      </c>
      <c r="P437">
        <v>0</v>
      </c>
      <c r="Q437">
        <v>1</v>
      </c>
      <c r="R437">
        <v>0</v>
      </c>
      <c r="S437">
        <v>1</v>
      </c>
      <c r="T437">
        <v>0</v>
      </c>
      <c r="U437">
        <v>0</v>
      </c>
      <c r="V437" s="14" t="s">
        <v>493</v>
      </c>
    </row>
    <row r="438" spans="1:22" ht="14.25" customHeight="1" x14ac:dyDescent="0.25">
      <c r="A438" s="48" t="str">
        <f>LEFT(Tabelle1[[#This Row],[Artikel'#]],4)</f>
        <v>F045</v>
      </c>
      <c r="B438" s="46" t="str">
        <f>MID(Tabelle1[[#This Row],[Artikel'#]],5,3)</f>
        <v>138</v>
      </c>
      <c r="C438" s="48" t="str">
        <f>RIGHT(Tabelle1[[#This Row],[Artikel'#]],3)</f>
        <v>044</v>
      </c>
      <c r="D438" s="46">
        <f>IF(Tabelle1[[#This Row],[Winkel2]]=select!$A$2,1,0)</f>
        <v>0</v>
      </c>
      <c r="E4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38" s="46">
        <f>IF(select!$E$16=IF(Tabelle1[[#This Row],[mit Dämpfung]]=1,1,IF(Tabelle1[[#This Row],[ohne Dämpfung]]=1,2,IF(Tabelle1[[#This Row],[ohne Feder]]=1,3,0))),1,0)</f>
        <v>0</v>
      </c>
      <c r="G438" s="46">
        <f>IF(Tabelle1[[#This Row],[Links]]=select!$I$2,1,0)</f>
        <v>0</v>
      </c>
      <c r="H438" s="46">
        <f>IF(IF(Tabelle1[[#This Row],[Anschrauben]]=1,1,IF(Tabelle1[[#This Row],[Einpressen]]=1,2,IF(Tabelle1[[#This Row],[Werkzeuglos]]=1,3,0)))=select!$E$7,1,0)</f>
        <v>0</v>
      </c>
      <c r="I438" s="46">
        <f ca="1">IF(Tabelle1[[#This Row],[Winkel]]+Tabelle1[[#This Row],[Kröpfung]]+Tabelle1[[#This Row],[Däpfung]]+Tabelle1[[#This Row],[Bohrbild]]+Tabelle1[[#This Row],[Scharnierbefestigung]]=5,1,0)</f>
        <v>0</v>
      </c>
      <c r="J438" t="str">
        <f ca="1">Sprache!$A$53</f>
        <v>TIOMOS hinge T-Click-on</v>
      </c>
      <c r="K438" t="s">
        <v>280</v>
      </c>
      <c r="L438" t="str">
        <f ca="1">Sprache!$A$63</f>
        <v>TIOMOS Click-on hinges</v>
      </c>
      <c r="M438">
        <v>9.5</v>
      </c>
      <c r="N438" t="s">
        <v>12</v>
      </c>
      <c r="O438">
        <v>160</v>
      </c>
      <c r="P438">
        <v>0</v>
      </c>
      <c r="Q438">
        <v>1</v>
      </c>
      <c r="R438">
        <v>0</v>
      </c>
      <c r="S438">
        <v>1</v>
      </c>
      <c r="T438">
        <v>0</v>
      </c>
      <c r="U438">
        <v>0</v>
      </c>
      <c r="V438" s="14" t="s">
        <v>494</v>
      </c>
    </row>
    <row r="439" spans="1:22" ht="14.25" customHeight="1" x14ac:dyDescent="0.25">
      <c r="A439" s="48" t="str">
        <f>LEFT(Tabelle1[[#This Row],[Artikel'#]],4)</f>
        <v>F045</v>
      </c>
      <c r="B439" s="46" t="str">
        <f>MID(Tabelle1[[#This Row],[Artikel'#]],5,3)</f>
        <v>138</v>
      </c>
      <c r="C439" s="48" t="str">
        <f>RIGHT(Tabelle1[[#This Row],[Artikel'#]],3)</f>
        <v>045</v>
      </c>
      <c r="D439" s="46">
        <f>IF(Tabelle1[[#This Row],[Winkel2]]=select!$A$2,1,0)</f>
        <v>0</v>
      </c>
      <c r="E4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39" s="46">
        <f>IF(select!$E$16=IF(Tabelle1[[#This Row],[mit Dämpfung]]=1,1,IF(Tabelle1[[#This Row],[ohne Dämpfung]]=1,2,IF(Tabelle1[[#This Row],[ohne Feder]]=1,3,0))),1,0)</f>
        <v>0</v>
      </c>
      <c r="G439" s="46">
        <f>IF(Tabelle1[[#This Row],[Links]]=select!$I$2,1,0)</f>
        <v>0</v>
      </c>
      <c r="H439" s="46">
        <f>IF(IF(Tabelle1[[#This Row],[Anschrauben]]=1,1,IF(Tabelle1[[#This Row],[Einpressen]]=1,2,IF(Tabelle1[[#This Row],[Werkzeuglos]]=1,3,0)))=select!$E$7,1,0)</f>
        <v>1</v>
      </c>
      <c r="I439" s="46">
        <f ca="1">IF(Tabelle1[[#This Row],[Winkel]]+Tabelle1[[#This Row],[Kröpfung]]+Tabelle1[[#This Row],[Däpfung]]+Tabelle1[[#This Row],[Bohrbild]]+Tabelle1[[#This Row],[Scharnierbefestigung]]=5,1,0)</f>
        <v>0</v>
      </c>
      <c r="J439" t="str">
        <f ca="1">Sprache!$A$53</f>
        <v>TIOMOS hinge T-Click-on</v>
      </c>
      <c r="K439" t="str">
        <f ca="1">"160°, M-BB, K00, "&amp;Sprache!A59&amp;", ni"</f>
        <v>160°, M-BB, K00, Dowel, ni</v>
      </c>
      <c r="L439" t="str">
        <f ca="1">Sprache!$A$63</f>
        <v>TIOMOS Click-on hinges</v>
      </c>
      <c r="M439">
        <v>0</v>
      </c>
      <c r="N439" s="13" t="s">
        <v>12</v>
      </c>
      <c r="O439">
        <v>160</v>
      </c>
      <c r="P439">
        <v>0</v>
      </c>
      <c r="Q439">
        <v>1</v>
      </c>
      <c r="R439">
        <v>0</v>
      </c>
      <c r="S439">
        <v>0</v>
      </c>
      <c r="T439">
        <v>1</v>
      </c>
      <c r="U439">
        <v>0</v>
      </c>
      <c r="V439" s="14" t="s">
        <v>495</v>
      </c>
    </row>
    <row r="440" spans="1:22" ht="14.25" customHeight="1" x14ac:dyDescent="0.25">
      <c r="A440" s="48" t="str">
        <f>LEFT(Tabelle1[[#This Row],[Artikel'#]],4)</f>
        <v>F045</v>
      </c>
      <c r="B440" s="46" t="str">
        <f>MID(Tabelle1[[#This Row],[Artikel'#]],5,3)</f>
        <v>138</v>
      </c>
      <c r="C440" s="48" t="str">
        <f>RIGHT(Tabelle1[[#This Row],[Artikel'#]],3)</f>
        <v>046</v>
      </c>
      <c r="D440" s="46">
        <f>IF(Tabelle1[[#This Row],[Winkel2]]=select!$A$2,1,0)</f>
        <v>0</v>
      </c>
      <c r="E4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0" s="46">
        <f>IF(select!$E$16=IF(Tabelle1[[#This Row],[mit Dämpfung]]=1,1,IF(Tabelle1[[#This Row],[ohne Dämpfung]]=1,2,IF(Tabelle1[[#This Row],[ohne Feder]]=1,3,0))),1,0)</f>
        <v>0</v>
      </c>
      <c r="G440" s="46">
        <f>IF(Tabelle1[[#This Row],[Links]]=select!$I$2,1,0)</f>
        <v>0</v>
      </c>
      <c r="H440" s="46">
        <f>IF(IF(Tabelle1[[#This Row],[Anschrauben]]=1,1,IF(Tabelle1[[#This Row],[Einpressen]]=1,2,IF(Tabelle1[[#This Row],[Werkzeuglos]]=1,3,0)))=select!$E$7,1,0)</f>
        <v>1</v>
      </c>
      <c r="I440" s="46">
        <f ca="1">IF(Tabelle1[[#This Row],[Winkel]]+Tabelle1[[#This Row],[Kröpfung]]+Tabelle1[[#This Row],[Däpfung]]+Tabelle1[[#This Row],[Bohrbild]]+Tabelle1[[#This Row],[Scharnierbefestigung]]=5,1,0)</f>
        <v>0</v>
      </c>
      <c r="J440" t="str">
        <f ca="1">Sprache!$A$53</f>
        <v>TIOMOS hinge T-Click-on</v>
      </c>
      <c r="K440" t="str">
        <f ca="1">"160°, M-BB, K03, "&amp;Sprache!A59&amp;", ni"</f>
        <v>160°, M-BB, K03, Dowel, ni</v>
      </c>
      <c r="L440" t="str">
        <f ca="1">Sprache!$A$63</f>
        <v>TIOMOS Click-on hinges</v>
      </c>
      <c r="M440">
        <v>3</v>
      </c>
      <c r="N440" t="s">
        <v>12</v>
      </c>
      <c r="O440">
        <v>160</v>
      </c>
      <c r="P440">
        <v>0</v>
      </c>
      <c r="Q440">
        <v>1</v>
      </c>
      <c r="R440">
        <v>0</v>
      </c>
      <c r="S440">
        <v>0</v>
      </c>
      <c r="T440">
        <v>1</v>
      </c>
      <c r="U440">
        <v>0</v>
      </c>
      <c r="V440" s="14" t="s">
        <v>496</v>
      </c>
    </row>
    <row r="441" spans="1:22" ht="14.25" customHeight="1" x14ac:dyDescent="0.25">
      <c r="A441" s="48" t="str">
        <f>LEFT(Tabelle1[[#This Row],[Artikel'#]],4)</f>
        <v>F045</v>
      </c>
      <c r="B441" s="46" t="str">
        <f>MID(Tabelle1[[#This Row],[Artikel'#]],5,3)</f>
        <v>138</v>
      </c>
      <c r="C441" s="48" t="str">
        <f>RIGHT(Tabelle1[[#This Row],[Artikel'#]],3)</f>
        <v>047</v>
      </c>
      <c r="D441" s="46">
        <f>IF(Tabelle1[[#This Row],[Winkel2]]=select!$A$2,1,0)</f>
        <v>0</v>
      </c>
      <c r="E4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41" s="46">
        <f>IF(select!$E$16=IF(Tabelle1[[#This Row],[mit Dämpfung]]=1,1,IF(Tabelle1[[#This Row],[ohne Dämpfung]]=1,2,IF(Tabelle1[[#This Row],[ohne Feder]]=1,3,0))),1,0)</f>
        <v>0</v>
      </c>
      <c r="G441" s="46">
        <f>IF(Tabelle1[[#This Row],[Links]]=select!$I$2,1,0)</f>
        <v>0</v>
      </c>
      <c r="H441" s="46">
        <f>IF(IF(Tabelle1[[#This Row],[Anschrauben]]=1,1,IF(Tabelle1[[#This Row],[Einpressen]]=1,2,IF(Tabelle1[[#This Row],[Werkzeuglos]]=1,3,0)))=select!$E$7,1,0)</f>
        <v>1</v>
      </c>
      <c r="I441" s="46">
        <f ca="1">IF(Tabelle1[[#This Row],[Winkel]]+Tabelle1[[#This Row],[Kröpfung]]+Tabelle1[[#This Row],[Däpfung]]+Tabelle1[[#This Row],[Bohrbild]]+Tabelle1[[#This Row],[Scharnierbefestigung]]=5,1,0)</f>
        <v>0</v>
      </c>
      <c r="J441" t="str">
        <f ca="1">Sprache!$A$53</f>
        <v>TIOMOS hinge T-Click-on</v>
      </c>
      <c r="K441" t="str">
        <f ca="1">"160°, M-BB, K95, "&amp;Sprache!A59&amp;", ni"</f>
        <v>160°, M-BB, K95, Dowel, ni</v>
      </c>
      <c r="L441" t="str">
        <f ca="1">Sprache!$A$63</f>
        <v>TIOMOS Click-on hinges</v>
      </c>
      <c r="M441">
        <v>9.5</v>
      </c>
      <c r="N441" t="s">
        <v>12</v>
      </c>
      <c r="O441">
        <v>160</v>
      </c>
      <c r="P441">
        <v>0</v>
      </c>
      <c r="Q441">
        <v>1</v>
      </c>
      <c r="R441">
        <v>0</v>
      </c>
      <c r="S441">
        <v>0</v>
      </c>
      <c r="T441">
        <v>1</v>
      </c>
      <c r="U441">
        <v>0</v>
      </c>
      <c r="V441" s="14" t="s">
        <v>497</v>
      </c>
    </row>
    <row r="442" spans="1:22" ht="14.25" customHeight="1" x14ac:dyDescent="0.25">
      <c r="A442" s="48" t="str">
        <f>LEFT(Tabelle1[[#This Row],[Artikel'#]],4)</f>
        <v>F045</v>
      </c>
      <c r="B442" s="46" t="str">
        <f>MID(Tabelle1[[#This Row],[Artikel'#]],5,3)</f>
        <v>138</v>
      </c>
      <c r="C442" s="48" t="str">
        <f>RIGHT(Tabelle1[[#This Row],[Artikel'#]],3)</f>
        <v>048</v>
      </c>
      <c r="D442" s="46">
        <f>IF(Tabelle1[[#This Row],[Winkel2]]=select!$A$2,1,0)</f>
        <v>0</v>
      </c>
      <c r="E4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2" s="46">
        <f>IF(select!$E$16=IF(Tabelle1[[#This Row],[mit Dämpfung]]=1,1,IF(Tabelle1[[#This Row],[ohne Dämpfung]]=1,2,IF(Tabelle1[[#This Row],[ohne Feder]]=1,3,0))),1,0)</f>
        <v>0</v>
      </c>
      <c r="G442" s="46">
        <f>IF(Tabelle1[[#This Row],[Links]]=select!$I$2,1,0)</f>
        <v>0</v>
      </c>
      <c r="H442" s="46">
        <f>IF(IF(Tabelle1[[#This Row],[Anschrauben]]=1,1,IF(Tabelle1[[#This Row],[Einpressen]]=1,2,IF(Tabelle1[[#This Row],[Werkzeuglos]]=1,3,0)))=select!$E$7,1,0)</f>
        <v>0</v>
      </c>
      <c r="I442" s="46">
        <f ca="1">IF(Tabelle1[[#This Row],[Winkel]]+Tabelle1[[#This Row],[Kröpfung]]+Tabelle1[[#This Row],[Däpfung]]+Tabelle1[[#This Row],[Bohrbild]]+Tabelle1[[#This Row],[Scharnierbefestigung]]=5,1,0)</f>
        <v>0</v>
      </c>
      <c r="J442" t="str">
        <f ca="1">Sprache!$A$53</f>
        <v>TIOMOS hinge T-Click-on</v>
      </c>
      <c r="K442" t="s">
        <v>285</v>
      </c>
      <c r="L442" t="str">
        <f ca="1">Sprache!$A$63</f>
        <v>TIOMOS Click-on hinges</v>
      </c>
      <c r="M442">
        <v>0</v>
      </c>
      <c r="N442" t="s">
        <v>12</v>
      </c>
      <c r="O442">
        <v>95</v>
      </c>
      <c r="P442">
        <v>0</v>
      </c>
      <c r="Q442">
        <v>1</v>
      </c>
      <c r="R442">
        <v>0</v>
      </c>
      <c r="S442">
        <v>1</v>
      </c>
      <c r="T442">
        <v>0</v>
      </c>
      <c r="U442">
        <v>0</v>
      </c>
      <c r="V442" s="14" t="s">
        <v>498</v>
      </c>
    </row>
    <row r="443" spans="1:22" ht="14.25" customHeight="1" x14ac:dyDescent="0.25">
      <c r="A443" s="48" t="str">
        <f>LEFT(Tabelle1[[#This Row],[Artikel'#]],4)</f>
        <v>F045</v>
      </c>
      <c r="B443" s="46" t="str">
        <f>MID(Tabelle1[[#This Row],[Artikel'#]],5,3)</f>
        <v>138</v>
      </c>
      <c r="C443" s="48" t="str">
        <f>RIGHT(Tabelle1[[#This Row],[Artikel'#]],3)</f>
        <v>049</v>
      </c>
      <c r="D443" s="46">
        <f>IF(Tabelle1[[#This Row],[Winkel2]]=select!$A$2,1,0)</f>
        <v>0</v>
      </c>
      <c r="E4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3" s="46">
        <f>IF(select!$E$16=IF(Tabelle1[[#This Row],[mit Dämpfung]]=1,1,IF(Tabelle1[[#This Row],[ohne Dämpfung]]=1,2,IF(Tabelle1[[#This Row],[ohne Feder]]=1,3,0))),1,0)</f>
        <v>0</v>
      </c>
      <c r="G443" s="46">
        <f>IF(Tabelle1[[#This Row],[Links]]=select!$I$2,1,0)</f>
        <v>0</v>
      </c>
      <c r="H443" s="46">
        <f>IF(IF(Tabelle1[[#This Row],[Anschrauben]]=1,1,IF(Tabelle1[[#This Row],[Einpressen]]=1,2,IF(Tabelle1[[#This Row],[Werkzeuglos]]=1,3,0)))=select!$E$7,1,0)</f>
        <v>0</v>
      </c>
      <c r="I443" s="46">
        <f ca="1">IF(Tabelle1[[#This Row],[Winkel]]+Tabelle1[[#This Row],[Kröpfung]]+Tabelle1[[#This Row],[Däpfung]]+Tabelle1[[#This Row],[Bohrbild]]+Tabelle1[[#This Row],[Scharnierbefestigung]]=5,1,0)</f>
        <v>0</v>
      </c>
      <c r="J443" t="str">
        <f ca="1">Sprache!$A$53</f>
        <v>TIOMOS hinge T-Click-on</v>
      </c>
      <c r="K443" t="s">
        <v>287</v>
      </c>
      <c r="L443" t="str">
        <f ca="1">Sprache!$A$63</f>
        <v>TIOMOS Click-on hinges</v>
      </c>
      <c r="M443">
        <v>3</v>
      </c>
      <c r="N443" t="s">
        <v>12</v>
      </c>
      <c r="O443">
        <v>95</v>
      </c>
      <c r="P443">
        <v>0</v>
      </c>
      <c r="Q443">
        <v>1</v>
      </c>
      <c r="R443">
        <v>0</v>
      </c>
      <c r="S443">
        <v>1</v>
      </c>
      <c r="T443">
        <v>0</v>
      </c>
      <c r="U443">
        <v>0</v>
      </c>
      <c r="V443" s="14" t="s">
        <v>499</v>
      </c>
    </row>
    <row r="444" spans="1:22" ht="14.25" customHeight="1" x14ac:dyDescent="0.25">
      <c r="A444" s="48" t="str">
        <f>LEFT(Tabelle1[[#This Row],[Artikel'#]],4)</f>
        <v>F045</v>
      </c>
      <c r="B444" s="46" t="str">
        <f>MID(Tabelle1[[#This Row],[Artikel'#]],5,3)</f>
        <v>138</v>
      </c>
      <c r="C444" s="48" t="str">
        <f>RIGHT(Tabelle1[[#This Row],[Artikel'#]],3)</f>
        <v>050</v>
      </c>
      <c r="D444" s="46">
        <f>IF(Tabelle1[[#This Row],[Winkel2]]=select!$A$2,1,0)</f>
        <v>0</v>
      </c>
      <c r="E4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44" s="46">
        <f>IF(select!$E$16=IF(Tabelle1[[#This Row],[mit Dämpfung]]=1,1,IF(Tabelle1[[#This Row],[ohne Dämpfung]]=1,2,IF(Tabelle1[[#This Row],[ohne Feder]]=1,3,0))),1,0)</f>
        <v>0</v>
      </c>
      <c r="G444" s="46">
        <f>IF(Tabelle1[[#This Row],[Links]]=select!$I$2,1,0)</f>
        <v>0</v>
      </c>
      <c r="H444" s="46">
        <f>IF(IF(Tabelle1[[#This Row],[Anschrauben]]=1,1,IF(Tabelle1[[#This Row],[Einpressen]]=1,2,IF(Tabelle1[[#This Row],[Werkzeuglos]]=1,3,0)))=select!$E$7,1,0)</f>
        <v>0</v>
      </c>
      <c r="I444" s="46">
        <f ca="1">IF(Tabelle1[[#This Row],[Winkel]]+Tabelle1[[#This Row],[Kröpfung]]+Tabelle1[[#This Row],[Däpfung]]+Tabelle1[[#This Row],[Bohrbild]]+Tabelle1[[#This Row],[Scharnierbefestigung]]=5,1,0)</f>
        <v>0</v>
      </c>
      <c r="J444" t="str">
        <f ca="1">Sprache!$A$53</f>
        <v>TIOMOS hinge T-Click-on</v>
      </c>
      <c r="K444" t="s">
        <v>289</v>
      </c>
      <c r="L444" t="str">
        <f ca="1">Sprache!$A$63</f>
        <v>TIOMOS Click-on hinges</v>
      </c>
      <c r="M444">
        <v>9.5</v>
      </c>
      <c r="N444" t="s">
        <v>12</v>
      </c>
      <c r="O444">
        <v>95</v>
      </c>
      <c r="P444">
        <v>0</v>
      </c>
      <c r="Q444">
        <v>1</v>
      </c>
      <c r="R444">
        <v>0</v>
      </c>
      <c r="S444">
        <v>1</v>
      </c>
      <c r="T444">
        <v>0</v>
      </c>
      <c r="U444">
        <v>0</v>
      </c>
      <c r="V444" s="14" t="s">
        <v>500</v>
      </c>
    </row>
    <row r="445" spans="1:22" ht="14.25" customHeight="1" x14ac:dyDescent="0.25">
      <c r="A445" s="48" t="str">
        <f>LEFT(Tabelle1[[#This Row],[Artikel'#]],4)</f>
        <v>F045</v>
      </c>
      <c r="B445" s="46" t="str">
        <f>MID(Tabelle1[[#This Row],[Artikel'#]],5,3)</f>
        <v>138</v>
      </c>
      <c r="C445" s="48" t="str">
        <f>RIGHT(Tabelle1[[#This Row],[Artikel'#]],3)</f>
        <v>051</v>
      </c>
      <c r="D445" s="46">
        <f>IF(Tabelle1[[#This Row],[Winkel2]]=select!$A$2,1,0)</f>
        <v>0</v>
      </c>
      <c r="E4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5" s="46">
        <f>IF(select!$E$16=IF(Tabelle1[[#This Row],[mit Dämpfung]]=1,1,IF(Tabelle1[[#This Row],[ohne Dämpfung]]=1,2,IF(Tabelle1[[#This Row],[ohne Feder]]=1,3,0))),1,0)</f>
        <v>0</v>
      </c>
      <c r="G445" s="46">
        <f>IF(Tabelle1[[#This Row],[Links]]=select!$I$2,1,0)</f>
        <v>0</v>
      </c>
      <c r="H445" s="46">
        <f>IF(IF(Tabelle1[[#This Row],[Anschrauben]]=1,1,IF(Tabelle1[[#This Row],[Einpressen]]=1,2,IF(Tabelle1[[#This Row],[Werkzeuglos]]=1,3,0)))=select!$E$7,1,0)</f>
        <v>0</v>
      </c>
      <c r="I445" s="46">
        <f ca="1">IF(Tabelle1[[#This Row],[Winkel]]+Tabelle1[[#This Row],[Kröpfung]]+Tabelle1[[#This Row],[Däpfung]]+Tabelle1[[#This Row],[Bohrbild]]+Tabelle1[[#This Row],[Scharnierbefestigung]]=5,1,0)</f>
        <v>0</v>
      </c>
      <c r="J445" t="str">
        <f ca="1">Sprache!$A$53</f>
        <v>TIOMOS hinge T-Click-on</v>
      </c>
      <c r="K445" t="s">
        <v>291</v>
      </c>
      <c r="L445" t="str">
        <f ca="1">Sprache!$A$63</f>
        <v>TIOMOS Click-on hinges</v>
      </c>
      <c r="M445">
        <v>19</v>
      </c>
      <c r="N445" t="s">
        <v>12</v>
      </c>
      <c r="O445">
        <v>95</v>
      </c>
      <c r="P445">
        <v>0</v>
      </c>
      <c r="Q445">
        <v>1</v>
      </c>
      <c r="R445">
        <v>0</v>
      </c>
      <c r="S445">
        <v>1</v>
      </c>
      <c r="T445">
        <v>0</v>
      </c>
      <c r="U445">
        <v>0</v>
      </c>
      <c r="V445" s="14" t="s">
        <v>501</v>
      </c>
    </row>
    <row r="446" spans="1:22" ht="14.25" customHeight="1" x14ac:dyDescent="0.25">
      <c r="A446" s="48" t="str">
        <f>LEFT(Tabelle1[[#This Row],[Artikel'#]],4)</f>
        <v>F045</v>
      </c>
      <c r="B446" s="46" t="str">
        <f>MID(Tabelle1[[#This Row],[Artikel'#]],5,3)</f>
        <v>138</v>
      </c>
      <c r="C446" s="48" t="str">
        <f>RIGHT(Tabelle1[[#This Row],[Artikel'#]],3)</f>
        <v>052</v>
      </c>
      <c r="D446" s="46">
        <f>IF(Tabelle1[[#This Row],[Winkel2]]=select!$A$2,1,0)</f>
        <v>0</v>
      </c>
      <c r="E4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6" s="46">
        <f>IF(select!$E$16=IF(Tabelle1[[#This Row],[mit Dämpfung]]=1,1,IF(Tabelle1[[#This Row],[ohne Dämpfung]]=1,2,IF(Tabelle1[[#This Row],[ohne Feder]]=1,3,0))),1,0)</f>
        <v>0</v>
      </c>
      <c r="G446" s="46">
        <f>IF(Tabelle1[[#This Row],[Links]]=select!$I$2,1,0)</f>
        <v>0</v>
      </c>
      <c r="H446" s="46">
        <f>IF(IF(Tabelle1[[#This Row],[Anschrauben]]=1,1,IF(Tabelle1[[#This Row],[Einpressen]]=1,2,IF(Tabelle1[[#This Row],[Werkzeuglos]]=1,3,0)))=select!$E$7,1,0)</f>
        <v>1</v>
      </c>
      <c r="I446" s="46">
        <f ca="1">IF(Tabelle1[[#This Row],[Winkel]]+Tabelle1[[#This Row],[Kröpfung]]+Tabelle1[[#This Row],[Däpfung]]+Tabelle1[[#This Row],[Bohrbild]]+Tabelle1[[#This Row],[Scharnierbefestigung]]=5,1,0)</f>
        <v>0</v>
      </c>
      <c r="J446" t="str">
        <f ca="1">Sprache!$A$53</f>
        <v>TIOMOS hinge T-Click-on</v>
      </c>
      <c r="K446" t="str">
        <f ca="1">"95°, M-BB, K00, "&amp;Sprache!A59&amp;", ni"</f>
        <v>95°, M-BB, K00, Dowel, ni</v>
      </c>
      <c r="L446" t="str">
        <f ca="1">Sprache!$A$63</f>
        <v>TIOMOS Click-on hinges</v>
      </c>
      <c r="M446">
        <v>0</v>
      </c>
      <c r="N446" t="s">
        <v>12</v>
      </c>
      <c r="O446">
        <v>95</v>
      </c>
      <c r="P446">
        <v>0</v>
      </c>
      <c r="Q446">
        <v>1</v>
      </c>
      <c r="R446">
        <v>0</v>
      </c>
      <c r="S446">
        <v>0</v>
      </c>
      <c r="T446">
        <v>1</v>
      </c>
      <c r="U446">
        <v>0</v>
      </c>
      <c r="V446" s="14" t="s">
        <v>502</v>
      </c>
    </row>
    <row r="447" spans="1:22" ht="14.25" customHeight="1" x14ac:dyDescent="0.25">
      <c r="A447" s="48" t="str">
        <f>LEFT(Tabelle1[[#This Row],[Artikel'#]],4)</f>
        <v>F045</v>
      </c>
      <c r="B447" s="46" t="str">
        <f>MID(Tabelle1[[#This Row],[Artikel'#]],5,3)</f>
        <v>138</v>
      </c>
      <c r="C447" s="48" t="str">
        <f>RIGHT(Tabelle1[[#This Row],[Artikel'#]],3)</f>
        <v>053</v>
      </c>
      <c r="D447" s="46">
        <f>IF(Tabelle1[[#This Row],[Winkel2]]=select!$A$2,1,0)</f>
        <v>0</v>
      </c>
      <c r="E4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7" s="46">
        <f>IF(select!$E$16=IF(Tabelle1[[#This Row],[mit Dämpfung]]=1,1,IF(Tabelle1[[#This Row],[ohne Dämpfung]]=1,2,IF(Tabelle1[[#This Row],[ohne Feder]]=1,3,0))),1,0)</f>
        <v>0</v>
      </c>
      <c r="G447" s="46">
        <f>IF(Tabelle1[[#This Row],[Links]]=select!$I$2,1,0)</f>
        <v>0</v>
      </c>
      <c r="H447" s="46">
        <f>IF(IF(Tabelle1[[#This Row],[Anschrauben]]=1,1,IF(Tabelle1[[#This Row],[Einpressen]]=1,2,IF(Tabelle1[[#This Row],[Werkzeuglos]]=1,3,0)))=select!$E$7,1,0)</f>
        <v>1</v>
      </c>
      <c r="I447" s="46">
        <f ca="1">IF(Tabelle1[[#This Row],[Winkel]]+Tabelle1[[#This Row],[Kröpfung]]+Tabelle1[[#This Row],[Däpfung]]+Tabelle1[[#This Row],[Bohrbild]]+Tabelle1[[#This Row],[Scharnierbefestigung]]=5,1,0)</f>
        <v>0</v>
      </c>
      <c r="J447" t="str">
        <f ca="1">Sprache!$A$53</f>
        <v>TIOMOS hinge T-Click-on</v>
      </c>
      <c r="K447" t="str">
        <f ca="1">"95°, M-BB, K03, "&amp;Sprache!A59&amp;", ni"</f>
        <v>95°, M-BB, K03, Dowel, ni</v>
      </c>
      <c r="L447" t="str">
        <f ca="1">Sprache!$A$63</f>
        <v>TIOMOS Click-on hinges</v>
      </c>
      <c r="M447">
        <v>3</v>
      </c>
      <c r="N447" t="s">
        <v>12</v>
      </c>
      <c r="O447">
        <v>95</v>
      </c>
      <c r="P447">
        <v>0</v>
      </c>
      <c r="Q447">
        <v>1</v>
      </c>
      <c r="R447">
        <v>0</v>
      </c>
      <c r="S447">
        <v>0</v>
      </c>
      <c r="T447">
        <v>1</v>
      </c>
      <c r="U447">
        <v>0</v>
      </c>
      <c r="V447" s="14" t="s">
        <v>503</v>
      </c>
    </row>
    <row r="448" spans="1:22" ht="14.25" customHeight="1" x14ac:dyDescent="0.25">
      <c r="A448" s="48" t="str">
        <f>LEFT(Tabelle1[[#This Row],[Artikel'#]],4)</f>
        <v>F045</v>
      </c>
      <c r="B448" s="46" t="str">
        <f>MID(Tabelle1[[#This Row],[Artikel'#]],5,3)</f>
        <v>138</v>
      </c>
      <c r="C448" s="48" t="str">
        <f>RIGHT(Tabelle1[[#This Row],[Artikel'#]],3)</f>
        <v>054</v>
      </c>
      <c r="D448" s="46">
        <f>IF(Tabelle1[[#This Row],[Winkel2]]=select!$A$2,1,0)</f>
        <v>0</v>
      </c>
      <c r="E4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48" s="46">
        <f>IF(select!$E$16=IF(Tabelle1[[#This Row],[mit Dämpfung]]=1,1,IF(Tabelle1[[#This Row],[ohne Dämpfung]]=1,2,IF(Tabelle1[[#This Row],[ohne Feder]]=1,3,0))),1,0)</f>
        <v>0</v>
      </c>
      <c r="G448" s="46">
        <f>IF(Tabelle1[[#This Row],[Links]]=select!$I$2,1,0)</f>
        <v>0</v>
      </c>
      <c r="H448" s="46">
        <f>IF(IF(Tabelle1[[#This Row],[Anschrauben]]=1,1,IF(Tabelle1[[#This Row],[Einpressen]]=1,2,IF(Tabelle1[[#This Row],[Werkzeuglos]]=1,3,0)))=select!$E$7,1,0)</f>
        <v>1</v>
      </c>
      <c r="I448" s="46">
        <f ca="1">IF(Tabelle1[[#This Row],[Winkel]]+Tabelle1[[#This Row],[Kröpfung]]+Tabelle1[[#This Row],[Däpfung]]+Tabelle1[[#This Row],[Bohrbild]]+Tabelle1[[#This Row],[Scharnierbefestigung]]=5,1,0)</f>
        <v>0</v>
      </c>
      <c r="J448" t="str">
        <f ca="1">Sprache!$A$53</f>
        <v>TIOMOS hinge T-Click-on</v>
      </c>
      <c r="K448" t="str">
        <f ca="1">"95°, M-BB, K95, "&amp;Sprache!A59&amp;", ni"</f>
        <v>95°, M-BB, K95, Dowel, ni</v>
      </c>
      <c r="L448" t="str">
        <f ca="1">Sprache!$A$63</f>
        <v>TIOMOS Click-on hinges</v>
      </c>
      <c r="M448">
        <v>9.5</v>
      </c>
      <c r="N448" t="s">
        <v>12</v>
      </c>
      <c r="O448">
        <v>95</v>
      </c>
      <c r="P448">
        <v>0</v>
      </c>
      <c r="Q448">
        <v>1</v>
      </c>
      <c r="R448">
        <v>0</v>
      </c>
      <c r="S448">
        <v>0</v>
      </c>
      <c r="T448">
        <v>1</v>
      </c>
      <c r="U448">
        <v>0</v>
      </c>
      <c r="V448" s="14" t="s">
        <v>504</v>
      </c>
    </row>
    <row r="449" spans="1:22" ht="14.25" customHeight="1" x14ac:dyDescent="0.25">
      <c r="A449" s="48" t="str">
        <f>LEFT(Tabelle1[[#This Row],[Artikel'#]],4)</f>
        <v>F045</v>
      </c>
      <c r="B449" s="46" t="str">
        <f>MID(Tabelle1[[#This Row],[Artikel'#]],5,3)</f>
        <v>138</v>
      </c>
      <c r="C449" s="48" t="str">
        <f>RIGHT(Tabelle1[[#This Row],[Artikel'#]],3)</f>
        <v>055</v>
      </c>
      <c r="D449" s="46">
        <f>IF(Tabelle1[[#This Row],[Winkel2]]=select!$A$2,1,0)</f>
        <v>0</v>
      </c>
      <c r="E4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49" s="46">
        <f>IF(select!$E$16=IF(Tabelle1[[#This Row],[mit Dämpfung]]=1,1,IF(Tabelle1[[#This Row],[ohne Dämpfung]]=1,2,IF(Tabelle1[[#This Row],[ohne Feder]]=1,3,0))),1,0)</f>
        <v>0</v>
      </c>
      <c r="G449" s="46">
        <f>IF(Tabelle1[[#This Row],[Links]]=select!$I$2,1,0)</f>
        <v>0</v>
      </c>
      <c r="H449" s="46">
        <f>IF(IF(Tabelle1[[#This Row],[Anschrauben]]=1,1,IF(Tabelle1[[#This Row],[Einpressen]]=1,2,IF(Tabelle1[[#This Row],[Werkzeuglos]]=1,3,0)))=select!$E$7,1,0)</f>
        <v>1</v>
      </c>
      <c r="I449" s="46">
        <f ca="1">IF(Tabelle1[[#This Row],[Winkel]]+Tabelle1[[#This Row],[Kröpfung]]+Tabelle1[[#This Row],[Däpfung]]+Tabelle1[[#This Row],[Bohrbild]]+Tabelle1[[#This Row],[Scharnierbefestigung]]=5,1,0)</f>
        <v>0</v>
      </c>
      <c r="J449" t="str">
        <f ca="1">Sprache!$A$53</f>
        <v>TIOMOS hinge T-Click-on</v>
      </c>
      <c r="K449" t="str">
        <f ca="1">"95°, M-BB, K19, "&amp;Sprache!A59&amp;", ni"</f>
        <v>95°, M-BB, K19, Dowel, ni</v>
      </c>
      <c r="L449" t="str">
        <f ca="1">Sprache!$A$63</f>
        <v>TIOMOS Click-on hinges</v>
      </c>
      <c r="M449">
        <v>19</v>
      </c>
      <c r="N449" t="s">
        <v>12</v>
      </c>
      <c r="O449">
        <v>95</v>
      </c>
      <c r="P449">
        <v>0</v>
      </c>
      <c r="Q449">
        <v>1</v>
      </c>
      <c r="R449">
        <v>0</v>
      </c>
      <c r="S449">
        <v>0</v>
      </c>
      <c r="T449">
        <v>1</v>
      </c>
      <c r="U449">
        <v>0</v>
      </c>
      <c r="V449" s="14" t="s">
        <v>505</v>
      </c>
    </row>
    <row r="450" spans="1:22" ht="14.25" customHeight="1" x14ac:dyDescent="0.25">
      <c r="A450" s="48" t="str">
        <f>LEFT(Tabelle1[[#This Row],[Artikel'#]],4)</f>
        <v>F045</v>
      </c>
      <c r="B450" s="46" t="str">
        <f>MID(Tabelle1[[#This Row],[Artikel'#]],5,3)</f>
        <v>138</v>
      </c>
      <c r="C450" s="48" t="str">
        <f>RIGHT(Tabelle1[[#This Row],[Artikel'#]],3)</f>
        <v>275</v>
      </c>
      <c r="D450" s="46">
        <f>IF(Tabelle1[[#This Row],[Winkel2]]=select!$A$2,1,0)</f>
        <v>1</v>
      </c>
      <c r="E4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0" s="46">
        <f>IF(select!$E$16=IF(Tabelle1[[#This Row],[mit Dämpfung]]=1,1,IF(Tabelle1[[#This Row],[ohne Dämpfung]]=1,2,IF(Tabelle1[[#This Row],[ohne Feder]]=1,3,0))),1,0)</f>
        <v>0</v>
      </c>
      <c r="G450" s="46">
        <f>IF(Tabelle1[[#This Row],[Links]]=select!$I$2,1,0)</f>
        <v>0</v>
      </c>
      <c r="H450" s="46">
        <f>IF(IF(Tabelle1[[#This Row],[Anschrauben]]=1,1,IF(Tabelle1[[#This Row],[Einpressen]]=1,2,IF(Tabelle1[[#This Row],[Werkzeuglos]]=1,3,0)))=select!$E$7,1,0)</f>
        <v>0</v>
      </c>
      <c r="I450" s="46">
        <f ca="1">IF(Tabelle1[[#This Row],[Winkel]]+Tabelle1[[#This Row],[Kröpfung]]+Tabelle1[[#This Row],[Däpfung]]+Tabelle1[[#This Row],[Bohrbild]]+Tabelle1[[#This Row],[Scharnierbefestigung]]=5,1,0)</f>
        <v>0</v>
      </c>
      <c r="J450" t="str">
        <f ca="1">Sprache!$A$53</f>
        <v>TIOMOS hinge T-Click-on</v>
      </c>
      <c r="K450" t="s">
        <v>297</v>
      </c>
      <c r="L450" t="str">
        <f ca="1">Sprache!$A$63</f>
        <v>TIOMOS Click-on hinges</v>
      </c>
      <c r="M450">
        <v>0</v>
      </c>
      <c r="N450" t="s">
        <v>13</v>
      </c>
      <c r="O450">
        <v>110</v>
      </c>
      <c r="P450">
        <v>0</v>
      </c>
      <c r="Q450">
        <v>1</v>
      </c>
      <c r="R450">
        <v>0</v>
      </c>
      <c r="S450">
        <v>1</v>
      </c>
      <c r="T450">
        <v>0</v>
      </c>
      <c r="U450">
        <v>0</v>
      </c>
      <c r="V450" s="14" t="s">
        <v>506</v>
      </c>
    </row>
    <row r="451" spans="1:22" ht="14.25" customHeight="1" x14ac:dyDescent="0.25">
      <c r="A451" s="48" t="str">
        <f>LEFT(Tabelle1[[#This Row],[Artikel'#]],4)</f>
        <v>F045</v>
      </c>
      <c r="B451" s="46" t="str">
        <f>MID(Tabelle1[[#This Row],[Artikel'#]],5,3)</f>
        <v>138</v>
      </c>
      <c r="C451" s="48" t="str">
        <f>RIGHT(Tabelle1[[#This Row],[Artikel'#]],3)</f>
        <v>276</v>
      </c>
      <c r="D451" s="46">
        <f>IF(Tabelle1[[#This Row],[Winkel2]]=select!$A$2,1,0)</f>
        <v>1</v>
      </c>
      <c r="E4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1" s="46">
        <f>IF(select!$E$16=IF(Tabelle1[[#This Row],[mit Dämpfung]]=1,1,IF(Tabelle1[[#This Row],[ohne Dämpfung]]=1,2,IF(Tabelle1[[#This Row],[ohne Feder]]=1,3,0))),1,0)</f>
        <v>0</v>
      </c>
      <c r="G451" s="46">
        <f>IF(Tabelle1[[#This Row],[Links]]=select!$I$2,1,0)</f>
        <v>0</v>
      </c>
      <c r="H451" s="46">
        <f>IF(IF(Tabelle1[[#This Row],[Anschrauben]]=1,1,IF(Tabelle1[[#This Row],[Einpressen]]=1,2,IF(Tabelle1[[#This Row],[Werkzeuglos]]=1,3,0)))=select!$E$7,1,0)</f>
        <v>0</v>
      </c>
      <c r="I451" s="46">
        <f ca="1">IF(Tabelle1[[#This Row],[Winkel]]+Tabelle1[[#This Row],[Kröpfung]]+Tabelle1[[#This Row],[Däpfung]]+Tabelle1[[#This Row],[Bohrbild]]+Tabelle1[[#This Row],[Scharnierbefestigung]]=5,1,0)</f>
        <v>0</v>
      </c>
      <c r="J451" t="str">
        <f ca="1">Sprache!$A$53</f>
        <v>TIOMOS hinge T-Click-on</v>
      </c>
      <c r="K451" t="s">
        <v>299</v>
      </c>
      <c r="L451" t="str">
        <f ca="1">Sprache!$A$63</f>
        <v>TIOMOS Click-on hinges</v>
      </c>
      <c r="M451">
        <v>3</v>
      </c>
      <c r="N451" t="s">
        <v>13</v>
      </c>
      <c r="O451">
        <v>110</v>
      </c>
      <c r="P451">
        <v>0</v>
      </c>
      <c r="Q451">
        <v>1</v>
      </c>
      <c r="R451">
        <v>0</v>
      </c>
      <c r="S451">
        <v>1</v>
      </c>
      <c r="T451">
        <v>0</v>
      </c>
      <c r="U451">
        <v>0</v>
      </c>
      <c r="V451" s="14" t="s">
        <v>507</v>
      </c>
    </row>
    <row r="452" spans="1:22" ht="14.25" customHeight="1" x14ac:dyDescent="0.25">
      <c r="A452" s="48" t="str">
        <f>LEFT(Tabelle1[[#This Row],[Artikel'#]],4)</f>
        <v>F045</v>
      </c>
      <c r="B452" s="46" t="str">
        <f>MID(Tabelle1[[#This Row],[Artikel'#]],5,3)</f>
        <v>138</v>
      </c>
      <c r="C452" s="48" t="str">
        <f>RIGHT(Tabelle1[[#This Row],[Artikel'#]],3)</f>
        <v>277</v>
      </c>
      <c r="D452" s="46">
        <f>IF(Tabelle1[[#This Row],[Winkel2]]=select!$A$2,1,0)</f>
        <v>1</v>
      </c>
      <c r="E4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52" s="46">
        <f>IF(select!$E$16=IF(Tabelle1[[#This Row],[mit Dämpfung]]=1,1,IF(Tabelle1[[#This Row],[ohne Dämpfung]]=1,2,IF(Tabelle1[[#This Row],[ohne Feder]]=1,3,0))),1,0)</f>
        <v>0</v>
      </c>
      <c r="G452" s="46">
        <f>IF(Tabelle1[[#This Row],[Links]]=select!$I$2,1,0)</f>
        <v>0</v>
      </c>
      <c r="H452" s="46">
        <f>IF(IF(Tabelle1[[#This Row],[Anschrauben]]=1,1,IF(Tabelle1[[#This Row],[Einpressen]]=1,2,IF(Tabelle1[[#This Row],[Werkzeuglos]]=1,3,0)))=select!$E$7,1,0)</f>
        <v>0</v>
      </c>
      <c r="I452" s="46">
        <f ca="1">IF(Tabelle1[[#This Row],[Winkel]]+Tabelle1[[#This Row],[Kröpfung]]+Tabelle1[[#This Row],[Däpfung]]+Tabelle1[[#This Row],[Bohrbild]]+Tabelle1[[#This Row],[Scharnierbefestigung]]=5,1,0)</f>
        <v>0</v>
      </c>
      <c r="J452" t="str">
        <f ca="1">Sprache!$A$53</f>
        <v>TIOMOS hinge T-Click-on</v>
      </c>
      <c r="K452" t="s">
        <v>301</v>
      </c>
      <c r="L452" t="str">
        <f ca="1">Sprache!$A$63</f>
        <v>TIOMOS Click-on hinges</v>
      </c>
      <c r="M452">
        <v>9.5</v>
      </c>
      <c r="N452" t="s">
        <v>13</v>
      </c>
      <c r="O452">
        <v>110</v>
      </c>
      <c r="P452">
        <v>0</v>
      </c>
      <c r="Q452">
        <v>1</v>
      </c>
      <c r="R452">
        <v>0</v>
      </c>
      <c r="S452">
        <v>1</v>
      </c>
      <c r="T452">
        <v>0</v>
      </c>
      <c r="U452">
        <v>0</v>
      </c>
      <c r="V452" s="14" t="s">
        <v>508</v>
      </c>
    </row>
    <row r="453" spans="1:22" ht="14.25" customHeight="1" x14ac:dyDescent="0.25">
      <c r="A453" s="48" t="str">
        <f>LEFT(Tabelle1[[#This Row],[Artikel'#]],4)</f>
        <v>F045</v>
      </c>
      <c r="B453" s="46" t="str">
        <f>MID(Tabelle1[[#This Row],[Artikel'#]],5,3)</f>
        <v>138</v>
      </c>
      <c r="C453" s="48" t="str">
        <f>RIGHT(Tabelle1[[#This Row],[Artikel'#]],3)</f>
        <v>278</v>
      </c>
      <c r="D453" s="46">
        <f>IF(Tabelle1[[#This Row],[Winkel2]]=select!$A$2,1,0)</f>
        <v>1</v>
      </c>
      <c r="E4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3" s="46">
        <f>IF(select!$E$16=IF(Tabelle1[[#This Row],[mit Dämpfung]]=1,1,IF(Tabelle1[[#This Row],[ohne Dämpfung]]=1,2,IF(Tabelle1[[#This Row],[ohne Feder]]=1,3,0))),1,0)</f>
        <v>0</v>
      </c>
      <c r="G453" s="46">
        <f>IF(Tabelle1[[#This Row],[Links]]=select!$I$2,1,0)</f>
        <v>0</v>
      </c>
      <c r="H453" s="46">
        <f>IF(IF(Tabelle1[[#This Row],[Anschrauben]]=1,1,IF(Tabelle1[[#This Row],[Einpressen]]=1,2,IF(Tabelle1[[#This Row],[Werkzeuglos]]=1,3,0)))=select!$E$7,1,0)</f>
        <v>0</v>
      </c>
      <c r="I453" s="46">
        <f ca="1">IF(Tabelle1[[#This Row],[Winkel]]+Tabelle1[[#This Row],[Kröpfung]]+Tabelle1[[#This Row],[Däpfung]]+Tabelle1[[#This Row],[Bohrbild]]+Tabelle1[[#This Row],[Scharnierbefestigung]]=5,1,0)</f>
        <v>0</v>
      </c>
      <c r="J453" t="str">
        <f ca="1">Sprache!$A$53</f>
        <v>TIOMOS hinge T-Click-on</v>
      </c>
      <c r="K453" t="s">
        <v>303</v>
      </c>
      <c r="L453" t="str">
        <f ca="1">Sprache!$A$63</f>
        <v>TIOMOS Click-on hinges</v>
      </c>
      <c r="M453">
        <v>19</v>
      </c>
      <c r="N453" t="s">
        <v>13</v>
      </c>
      <c r="O453">
        <v>110</v>
      </c>
      <c r="P453">
        <v>0</v>
      </c>
      <c r="Q453">
        <v>1</v>
      </c>
      <c r="R453">
        <v>0</v>
      </c>
      <c r="S453">
        <v>1</v>
      </c>
      <c r="T453">
        <v>0</v>
      </c>
      <c r="U453">
        <v>0</v>
      </c>
      <c r="V453" s="14" t="s">
        <v>509</v>
      </c>
    </row>
    <row r="454" spans="1:22" ht="14.25" customHeight="1" x14ac:dyDescent="0.25">
      <c r="A454" s="48" t="str">
        <f>LEFT(Tabelle1[[#This Row],[Artikel'#]],4)</f>
        <v>F045</v>
      </c>
      <c r="B454" s="46" t="str">
        <f>MID(Tabelle1[[#This Row],[Artikel'#]],5,3)</f>
        <v>138</v>
      </c>
      <c r="C454" s="48" t="str">
        <f>RIGHT(Tabelle1[[#This Row],[Artikel'#]],3)</f>
        <v>279</v>
      </c>
      <c r="D454" s="46">
        <f>IF(Tabelle1[[#This Row],[Winkel2]]=select!$A$2,1,0)</f>
        <v>1</v>
      </c>
      <c r="E4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4" s="46">
        <f>IF(select!$E$16=IF(Tabelle1[[#This Row],[mit Dämpfung]]=1,1,IF(Tabelle1[[#This Row],[ohne Dämpfung]]=1,2,IF(Tabelle1[[#This Row],[ohne Feder]]=1,3,0))),1,0)</f>
        <v>0</v>
      </c>
      <c r="G454" s="46">
        <f>IF(Tabelle1[[#This Row],[Links]]=select!$I$2,1,0)</f>
        <v>0</v>
      </c>
      <c r="H454" s="46">
        <f>IF(IF(Tabelle1[[#This Row],[Anschrauben]]=1,1,IF(Tabelle1[[#This Row],[Einpressen]]=1,2,IF(Tabelle1[[#This Row],[Werkzeuglos]]=1,3,0)))=select!$E$7,1,0)</f>
        <v>1</v>
      </c>
      <c r="I454" s="46">
        <f ca="1">IF(Tabelle1[[#This Row],[Winkel]]+Tabelle1[[#This Row],[Kröpfung]]+Tabelle1[[#This Row],[Däpfung]]+Tabelle1[[#This Row],[Bohrbild]]+Tabelle1[[#This Row],[Scharnierbefestigung]]=5,1,0)</f>
        <v>0</v>
      </c>
      <c r="J454" t="str">
        <f ca="1">Sprache!$A$53</f>
        <v>TIOMOS hinge T-Click-on</v>
      </c>
      <c r="K454" t="str">
        <f ca="1">"110°, G-BB, K00, "&amp;Sprache!A59&amp;", ni"</f>
        <v>110°, G-BB, K00, Dowel, ni</v>
      </c>
      <c r="L454" t="str">
        <f ca="1">Sprache!$A$63</f>
        <v>TIOMOS Click-on hinges</v>
      </c>
      <c r="M454">
        <v>0</v>
      </c>
      <c r="N454" t="s">
        <v>13</v>
      </c>
      <c r="O454">
        <v>110</v>
      </c>
      <c r="P454">
        <v>0</v>
      </c>
      <c r="Q454">
        <v>1</v>
      </c>
      <c r="R454">
        <v>0</v>
      </c>
      <c r="S454">
        <v>0</v>
      </c>
      <c r="T454">
        <v>1</v>
      </c>
      <c r="U454">
        <v>0</v>
      </c>
      <c r="V454" s="14" t="s">
        <v>510</v>
      </c>
    </row>
    <row r="455" spans="1:22" ht="14.25" customHeight="1" x14ac:dyDescent="0.25">
      <c r="A455" s="48" t="str">
        <f>LEFT(Tabelle1[[#This Row],[Artikel'#]],4)</f>
        <v>F045</v>
      </c>
      <c r="B455" s="46" t="str">
        <f>MID(Tabelle1[[#This Row],[Artikel'#]],5,3)</f>
        <v>138</v>
      </c>
      <c r="C455" s="48" t="str">
        <f>RIGHT(Tabelle1[[#This Row],[Artikel'#]],3)</f>
        <v>280</v>
      </c>
      <c r="D455" s="46">
        <f>IF(Tabelle1[[#This Row],[Winkel2]]=select!$A$2,1,0)</f>
        <v>1</v>
      </c>
      <c r="E4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5" s="46">
        <f>IF(select!$E$16=IF(Tabelle1[[#This Row],[mit Dämpfung]]=1,1,IF(Tabelle1[[#This Row],[ohne Dämpfung]]=1,2,IF(Tabelle1[[#This Row],[ohne Feder]]=1,3,0))),1,0)</f>
        <v>0</v>
      </c>
      <c r="G455" s="46">
        <f>IF(Tabelle1[[#This Row],[Links]]=select!$I$2,1,0)</f>
        <v>0</v>
      </c>
      <c r="H455" s="46">
        <f>IF(IF(Tabelle1[[#This Row],[Anschrauben]]=1,1,IF(Tabelle1[[#This Row],[Einpressen]]=1,2,IF(Tabelle1[[#This Row],[Werkzeuglos]]=1,3,0)))=select!$E$7,1,0)</f>
        <v>1</v>
      </c>
      <c r="I455" s="46">
        <f ca="1">IF(Tabelle1[[#This Row],[Winkel]]+Tabelle1[[#This Row],[Kröpfung]]+Tabelle1[[#This Row],[Däpfung]]+Tabelle1[[#This Row],[Bohrbild]]+Tabelle1[[#This Row],[Scharnierbefestigung]]=5,1,0)</f>
        <v>0</v>
      </c>
      <c r="J455" t="str">
        <f ca="1">Sprache!$A$53</f>
        <v>TIOMOS hinge T-Click-on</v>
      </c>
      <c r="K455" t="str">
        <f ca="1">"110°, G-BB, K03, "&amp;Sprache!A59&amp;", ni"</f>
        <v>110°, G-BB, K03, Dowel, ni</v>
      </c>
      <c r="L455" t="str">
        <f ca="1">Sprache!$A$63</f>
        <v>TIOMOS Click-on hinges</v>
      </c>
      <c r="M455">
        <v>3</v>
      </c>
      <c r="N455" t="s">
        <v>13</v>
      </c>
      <c r="O455">
        <v>110</v>
      </c>
      <c r="P455">
        <v>0</v>
      </c>
      <c r="Q455">
        <v>1</v>
      </c>
      <c r="R455">
        <v>0</v>
      </c>
      <c r="S455">
        <v>0</v>
      </c>
      <c r="T455">
        <v>1</v>
      </c>
      <c r="U455">
        <v>0</v>
      </c>
      <c r="V455" s="14" t="s">
        <v>511</v>
      </c>
    </row>
    <row r="456" spans="1:22" ht="14.25" customHeight="1" x14ac:dyDescent="0.25">
      <c r="A456" s="48" t="str">
        <f>LEFT(Tabelle1[[#This Row],[Artikel'#]],4)</f>
        <v>F045</v>
      </c>
      <c r="B456" s="46" t="str">
        <f>MID(Tabelle1[[#This Row],[Artikel'#]],5,3)</f>
        <v>138</v>
      </c>
      <c r="C456" s="48" t="str">
        <f>RIGHT(Tabelle1[[#This Row],[Artikel'#]],3)</f>
        <v>281</v>
      </c>
      <c r="D456" s="46">
        <f>IF(Tabelle1[[#This Row],[Winkel2]]=select!$A$2,1,0)</f>
        <v>1</v>
      </c>
      <c r="E4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56" s="46">
        <f>IF(select!$E$16=IF(Tabelle1[[#This Row],[mit Dämpfung]]=1,1,IF(Tabelle1[[#This Row],[ohne Dämpfung]]=1,2,IF(Tabelle1[[#This Row],[ohne Feder]]=1,3,0))),1,0)</f>
        <v>0</v>
      </c>
      <c r="G456" s="46">
        <f>IF(Tabelle1[[#This Row],[Links]]=select!$I$2,1,0)</f>
        <v>0</v>
      </c>
      <c r="H456" s="46">
        <f>IF(IF(Tabelle1[[#This Row],[Anschrauben]]=1,1,IF(Tabelle1[[#This Row],[Einpressen]]=1,2,IF(Tabelle1[[#This Row],[Werkzeuglos]]=1,3,0)))=select!$E$7,1,0)</f>
        <v>1</v>
      </c>
      <c r="I456" s="46">
        <f ca="1">IF(Tabelle1[[#This Row],[Winkel]]+Tabelle1[[#This Row],[Kröpfung]]+Tabelle1[[#This Row],[Däpfung]]+Tabelle1[[#This Row],[Bohrbild]]+Tabelle1[[#This Row],[Scharnierbefestigung]]=5,1,0)</f>
        <v>0</v>
      </c>
      <c r="J456" t="str">
        <f ca="1">Sprache!$A$53</f>
        <v>TIOMOS hinge T-Click-on</v>
      </c>
      <c r="K456" t="str">
        <f ca="1">"110°, G-BB, K95, "&amp;Sprache!A59&amp;", ni"</f>
        <v>110°, G-BB, K95, Dowel, ni</v>
      </c>
      <c r="L456" t="str">
        <f ca="1">Sprache!$A$63</f>
        <v>TIOMOS Click-on hinges</v>
      </c>
      <c r="M456">
        <v>9.5</v>
      </c>
      <c r="N456" t="s">
        <v>13</v>
      </c>
      <c r="O456">
        <v>110</v>
      </c>
      <c r="P456">
        <v>0</v>
      </c>
      <c r="Q456">
        <v>1</v>
      </c>
      <c r="R456">
        <v>0</v>
      </c>
      <c r="S456">
        <v>0</v>
      </c>
      <c r="T456">
        <v>1</v>
      </c>
      <c r="U456">
        <v>0</v>
      </c>
      <c r="V456" s="14" t="s">
        <v>512</v>
      </c>
    </row>
    <row r="457" spans="1:22" ht="14.25" customHeight="1" x14ac:dyDescent="0.25">
      <c r="A457" s="48" t="str">
        <f>LEFT(Tabelle1[[#This Row],[Artikel'#]],4)</f>
        <v>F045</v>
      </c>
      <c r="B457" s="46" t="str">
        <f>MID(Tabelle1[[#This Row],[Artikel'#]],5,3)</f>
        <v>138</v>
      </c>
      <c r="C457" s="48" t="str">
        <f>RIGHT(Tabelle1[[#This Row],[Artikel'#]],3)</f>
        <v>282</v>
      </c>
      <c r="D457" s="46">
        <f>IF(Tabelle1[[#This Row],[Winkel2]]=select!$A$2,1,0)</f>
        <v>1</v>
      </c>
      <c r="E4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7" s="46">
        <f>IF(select!$E$16=IF(Tabelle1[[#This Row],[mit Dämpfung]]=1,1,IF(Tabelle1[[#This Row],[ohne Dämpfung]]=1,2,IF(Tabelle1[[#This Row],[ohne Feder]]=1,3,0))),1,0)</f>
        <v>0</v>
      </c>
      <c r="G457" s="46">
        <f>IF(Tabelle1[[#This Row],[Links]]=select!$I$2,1,0)</f>
        <v>0</v>
      </c>
      <c r="H457" s="46">
        <f>IF(IF(Tabelle1[[#This Row],[Anschrauben]]=1,1,IF(Tabelle1[[#This Row],[Einpressen]]=1,2,IF(Tabelle1[[#This Row],[Werkzeuglos]]=1,3,0)))=select!$E$7,1,0)</f>
        <v>1</v>
      </c>
      <c r="I457" s="46">
        <f ca="1">IF(Tabelle1[[#This Row],[Winkel]]+Tabelle1[[#This Row],[Kröpfung]]+Tabelle1[[#This Row],[Däpfung]]+Tabelle1[[#This Row],[Bohrbild]]+Tabelle1[[#This Row],[Scharnierbefestigung]]=5,1,0)</f>
        <v>0</v>
      </c>
      <c r="J457" t="str">
        <f ca="1">Sprache!$A$53</f>
        <v>TIOMOS hinge T-Click-on</v>
      </c>
      <c r="K457" t="str">
        <f ca="1">"110°, G-BB, K19, "&amp;Sprache!A59&amp;", ni"</f>
        <v>110°, G-BB, K19, Dowel, ni</v>
      </c>
      <c r="L457" t="str">
        <f ca="1">Sprache!$A$63</f>
        <v>TIOMOS Click-on hinges</v>
      </c>
      <c r="M457">
        <v>19</v>
      </c>
      <c r="N457" t="s">
        <v>13</v>
      </c>
      <c r="O457">
        <v>110</v>
      </c>
      <c r="P457">
        <v>0</v>
      </c>
      <c r="Q457">
        <v>1</v>
      </c>
      <c r="R457">
        <v>0</v>
      </c>
      <c r="S457">
        <v>0</v>
      </c>
      <c r="T457">
        <v>1</v>
      </c>
      <c r="U457">
        <v>0</v>
      </c>
      <c r="V457" s="14" t="s">
        <v>513</v>
      </c>
    </row>
    <row r="458" spans="1:22" ht="14.25" customHeight="1" x14ac:dyDescent="0.25">
      <c r="A458" s="48" t="str">
        <f>LEFT(Tabelle1[[#This Row],[Artikel'#]],4)</f>
        <v>F045</v>
      </c>
      <c r="B458" s="46" t="str">
        <f>MID(Tabelle1[[#This Row],[Artikel'#]],5,3)</f>
        <v>138</v>
      </c>
      <c r="C458" s="48" t="str">
        <f>RIGHT(Tabelle1[[#This Row],[Artikel'#]],3)</f>
        <v>303</v>
      </c>
      <c r="D458" s="46">
        <f>IF(Tabelle1[[#This Row],[Winkel2]]=select!$A$2,1,0)</f>
        <v>0</v>
      </c>
      <c r="E4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8" s="46">
        <f>IF(select!$E$16=IF(Tabelle1[[#This Row],[mit Dämpfung]]=1,1,IF(Tabelle1[[#This Row],[ohne Dämpfung]]=1,2,IF(Tabelle1[[#This Row],[ohne Feder]]=1,3,0))),1,0)</f>
        <v>0</v>
      </c>
      <c r="G458" s="46">
        <f>IF(Tabelle1[[#This Row],[Links]]=select!$I$2,1,0)</f>
        <v>0</v>
      </c>
      <c r="H458" s="46">
        <f>IF(IF(Tabelle1[[#This Row],[Anschrauben]]=1,1,IF(Tabelle1[[#This Row],[Einpressen]]=1,2,IF(Tabelle1[[#This Row],[Werkzeuglos]]=1,3,0)))=select!$E$7,1,0)</f>
        <v>0</v>
      </c>
      <c r="I458" s="46">
        <f ca="1">IF(Tabelle1[[#This Row],[Winkel]]+Tabelle1[[#This Row],[Kröpfung]]+Tabelle1[[#This Row],[Däpfung]]+Tabelle1[[#This Row],[Bohrbild]]+Tabelle1[[#This Row],[Scharnierbefestigung]]=5,1,0)</f>
        <v>0</v>
      </c>
      <c r="J458" t="str">
        <f ca="1">Sprache!$A$53</f>
        <v>TIOMOS hinge T-Click-on</v>
      </c>
      <c r="K458" t="s">
        <v>309</v>
      </c>
      <c r="L458" t="str">
        <f ca="1">Sprache!$A$63</f>
        <v>TIOMOS Click-on hinges</v>
      </c>
      <c r="M458">
        <v>0</v>
      </c>
      <c r="N458" t="s">
        <v>13</v>
      </c>
      <c r="O458">
        <v>120</v>
      </c>
      <c r="P458">
        <v>0</v>
      </c>
      <c r="Q458">
        <v>1</v>
      </c>
      <c r="R458">
        <v>0</v>
      </c>
      <c r="S458">
        <v>1</v>
      </c>
      <c r="T458">
        <v>0</v>
      </c>
      <c r="U458">
        <v>0</v>
      </c>
      <c r="V458" s="14" t="s">
        <v>514</v>
      </c>
    </row>
    <row r="459" spans="1:22" ht="14.25" customHeight="1" x14ac:dyDescent="0.25">
      <c r="A459" s="48" t="str">
        <f>LEFT(Tabelle1[[#This Row],[Artikel'#]],4)</f>
        <v>F045</v>
      </c>
      <c r="B459" s="46" t="str">
        <f>MID(Tabelle1[[#This Row],[Artikel'#]],5,3)</f>
        <v>138</v>
      </c>
      <c r="C459" s="48" t="str">
        <f>RIGHT(Tabelle1[[#This Row],[Artikel'#]],3)</f>
        <v>304</v>
      </c>
      <c r="D459" s="46">
        <f>IF(Tabelle1[[#This Row],[Winkel2]]=select!$A$2,1,0)</f>
        <v>0</v>
      </c>
      <c r="E4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59" s="46">
        <f>IF(select!$E$16=IF(Tabelle1[[#This Row],[mit Dämpfung]]=1,1,IF(Tabelle1[[#This Row],[ohne Dämpfung]]=1,2,IF(Tabelle1[[#This Row],[ohne Feder]]=1,3,0))),1,0)</f>
        <v>0</v>
      </c>
      <c r="G459" s="46">
        <f>IF(Tabelle1[[#This Row],[Links]]=select!$I$2,1,0)</f>
        <v>0</v>
      </c>
      <c r="H459" s="46">
        <f>IF(IF(Tabelle1[[#This Row],[Anschrauben]]=1,1,IF(Tabelle1[[#This Row],[Einpressen]]=1,2,IF(Tabelle1[[#This Row],[Werkzeuglos]]=1,3,0)))=select!$E$7,1,0)</f>
        <v>0</v>
      </c>
      <c r="I459" s="46">
        <f ca="1">IF(Tabelle1[[#This Row],[Winkel]]+Tabelle1[[#This Row],[Kröpfung]]+Tabelle1[[#This Row],[Däpfung]]+Tabelle1[[#This Row],[Bohrbild]]+Tabelle1[[#This Row],[Scharnierbefestigung]]=5,1,0)</f>
        <v>0</v>
      </c>
      <c r="J459" t="str">
        <f ca="1">Sprache!$A$53</f>
        <v>TIOMOS hinge T-Click-on</v>
      </c>
      <c r="K459" t="s">
        <v>311</v>
      </c>
      <c r="L459" t="str">
        <f ca="1">Sprache!$A$63</f>
        <v>TIOMOS Click-on hinges</v>
      </c>
      <c r="M459">
        <v>3</v>
      </c>
      <c r="N459" t="s">
        <v>13</v>
      </c>
      <c r="O459">
        <v>120</v>
      </c>
      <c r="P459">
        <v>0</v>
      </c>
      <c r="Q459">
        <v>1</v>
      </c>
      <c r="R459">
        <v>0</v>
      </c>
      <c r="S459">
        <v>1</v>
      </c>
      <c r="T459">
        <v>0</v>
      </c>
      <c r="U459">
        <v>0</v>
      </c>
      <c r="V459" s="14" t="s">
        <v>515</v>
      </c>
    </row>
    <row r="460" spans="1:22" ht="14.25" customHeight="1" x14ac:dyDescent="0.25">
      <c r="A460" s="48" t="str">
        <f>LEFT(Tabelle1[[#This Row],[Artikel'#]],4)</f>
        <v>F045</v>
      </c>
      <c r="B460" s="46" t="str">
        <f>MID(Tabelle1[[#This Row],[Artikel'#]],5,3)</f>
        <v>138</v>
      </c>
      <c r="C460" s="48" t="str">
        <f>RIGHT(Tabelle1[[#This Row],[Artikel'#]],3)</f>
        <v>305</v>
      </c>
      <c r="D460" s="46">
        <f>IF(Tabelle1[[#This Row],[Winkel2]]=select!$A$2,1,0)</f>
        <v>0</v>
      </c>
      <c r="E4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60" s="46">
        <f>IF(select!$E$16=IF(Tabelle1[[#This Row],[mit Dämpfung]]=1,1,IF(Tabelle1[[#This Row],[ohne Dämpfung]]=1,2,IF(Tabelle1[[#This Row],[ohne Feder]]=1,3,0))),1,0)</f>
        <v>0</v>
      </c>
      <c r="G460" s="46">
        <f>IF(Tabelle1[[#This Row],[Links]]=select!$I$2,1,0)</f>
        <v>0</v>
      </c>
      <c r="H460" s="46">
        <f>IF(IF(Tabelle1[[#This Row],[Anschrauben]]=1,1,IF(Tabelle1[[#This Row],[Einpressen]]=1,2,IF(Tabelle1[[#This Row],[Werkzeuglos]]=1,3,0)))=select!$E$7,1,0)</f>
        <v>0</v>
      </c>
      <c r="I460" s="46">
        <f ca="1">IF(Tabelle1[[#This Row],[Winkel]]+Tabelle1[[#This Row],[Kröpfung]]+Tabelle1[[#This Row],[Däpfung]]+Tabelle1[[#This Row],[Bohrbild]]+Tabelle1[[#This Row],[Scharnierbefestigung]]=5,1,0)</f>
        <v>0</v>
      </c>
      <c r="J460" t="str">
        <f ca="1">Sprache!$A$53</f>
        <v>TIOMOS hinge T-Click-on</v>
      </c>
      <c r="K460" t="s">
        <v>313</v>
      </c>
      <c r="L460" t="str">
        <f ca="1">Sprache!$A$63</f>
        <v>TIOMOS Click-on hinges</v>
      </c>
      <c r="M460">
        <v>9.5</v>
      </c>
      <c r="N460" t="s">
        <v>13</v>
      </c>
      <c r="O460">
        <v>120</v>
      </c>
      <c r="P460">
        <v>0</v>
      </c>
      <c r="Q460">
        <v>1</v>
      </c>
      <c r="R460">
        <v>0</v>
      </c>
      <c r="S460">
        <v>1</v>
      </c>
      <c r="T460">
        <v>0</v>
      </c>
      <c r="U460">
        <v>0</v>
      </c>
      <c r="V460" s="14" t="s">
        <v>516</v>
      </c>
    </row>
    <row r="461" spans="1:22" ht="14.25" customHeight="1" x14ac:dyDescent="0.25">
      <c r="A461" s="48" t="str">
        <f>LEFT(Tabelle1[[#This Row],[Artikel'#]],4)</f>
        <v>F045</v>
      </c>
      <c r="B461" s="46" t="str">
        <f>MID(Tabelle1[[#This Row],[Artikel'#]],5,3)</f>
        <v>138</v>
      </c>
      <c r="C461" s="48" t="str">
        <f>RIGHT(Tabelle1[[#This Row],[Artikel'#]],3)</f>
        <v>307</v>
      </c>
      <c r="D461" s="46">
        <f>IF(Tabelle1[[#This Row],[Winkel2]]=select!$A$2,1,0)</f>
        <v>0</v>
      </c>
      <c r="E4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1" s="46">
        <f>IF(select!$E$16=IF(Tabelle1[[#This Row],[mit Dämpfung]]=1,1,IF(Tabelle1[[#This Row],[ohne Dämpfung]]=1,2,IF(Tabelle1[[#This Row],[ohne Feder]]=1,3,0))),1,0)</f>
        <v>0</v>
      </c>
      <c r="G461" s="46">
        <f>IF(Tabelle1[[#This Row],[Links]]=select!$I$2,1,0)</f>
        <v>0</v>
      </c>
      <c r="H461" s="46">
        <f>IF(IF(Tabelle1[[#This Row],[Anschrauben]]=1,1,IF(Tabelle1[[#This Row],[Einpressen]]=1,2,IF(Tabelle1[[#This Row],[Werkzeuglos]]=1,3,0)))=select!$E$7,1,0)</f>
        <v>1</v>
      </c>
      <c r="I461" s="46">
        <f ca="1">IF(Tabelle1[[#This Row],[Winkel]]+Tabelle1[[#This Row],[Kröpfung]]+Tabelle1[[#This Row],[Däpfung]]+Tabelle1[[#This Row],[Bohrbild]]+Tabelle1[[#This Row],[Scharnierbefestigung]]=5,1,0)</f>
        <v>0</v>
      </c>
      <c r="J461" t="str">
        <f ca="1">Sprache!$A$53</f>
        <v>TIOMOS hinge T-Click-on</v>
      </c>
      <c r="K461" t="str">
        <f ca="1">"120°, G-BB, K00, "&amp;Sprache!A59&amp;", ni"</f>
        <v>120°, G-BB, K00, Dowel, ni</v>
      </c>
      <c r="L461" t="str">
        <f ca="1">Sprache!$A$63</f>
        <v>TIOMOS Click-on hinges</v>
      </c>
      <c r="M461">
        <v>0</v>
      </c>
      <c r="N461" t="s">
        <v>13</v>
      </c>
      <c r="O461">
        <v>120</v>
      </c>
      <c r="P461">
        <v>0</v>
      </c>
      <c r="Q461">
        <v>1</v>
      </c>
      <c r="R461">
        <v>0</v>
      </c>
      <c r="S461">
        <v>0</v>
      </c>
      <c r="T461">
        <v>1</v>
      </c>
      <c r="U461">
        <v>0</v>
      </c>
      <c r="V461" s="14" t="s">
        <v>517</v>
      </c>
    </row>
    <row r="462" spans="1:22" ht="14.25" customHeight="1" x14ac:dyDescent="0.25">
      <c r="A462" s="48" t="str">
        <f>LEFT(Tabelle1[[#This Row],[Artikel'#]],4)</f>
        <v>F045</v>
      </c>
      <c r="B462" s="46" t="str">
        <f>MID(Tabelle1[[#This Row],[Artikel'#]],5,3)</f>
        <v>138</v>
      </c>
      <c r="C462" s="48" t="str">
        <f>RIGHT(Tabelle1[[#This Row],[Artikel'#]],3)</f>
        <v>308</v>
      </c>
      <c r="D462" s="46">
        <f>IF(Tabelle1[[#This Row],[Winkel2]]=select!$A$2,1,0)</f>
        <v>0</v>
      </c>
      <c r="E4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2" s="46">
        <f>IF(select!$E$16=IF(Tabelle1[[#This Row],[mit Dämpfung]]=1,1,IF(Tabelle1[[#This Row],[ohne Dämpfung]]=1,2,IF(Tabelle1[[#This Row],[ohne Feder]]=1,3,0))),1,0)</f>
        <v>0</v>
      </c>
      <c r="G462" s="46">
        <f>IF(Tabelle1[[#This Row],[Links]]=select!$I$2,1,0)</f>
        <v>0</v>
      </c>
      <c r="H462" s="46">
        <f>IF(IF(Tabelle1[[#This Row],[Anschrauben]]=1,1,IF(Tabelle1[[#This Row],[Einpressen]]=1,2,IF(Tabelle1[[#This Row],[Werkzeuglos]]=1,3,0)))=select!$E$7,1,0)</f>
        <v>1</v>
      </c>
      <c r="I462" s="46">
        <f ca="1">IF(Tabelle1[[#This Row],[Winkel]]+Tabelle1[[#This Row],[Kröpfung]]+Tabelle1[[#This Row],[Däpfung]]+Tabelle1[[#This Row],[Bohrbild]]+Tabelle1[[#This Row],[Scharnierbefestigung]]=5,1,0)</f>
        <v>0</v>
      </c>
      <c r="J462" t="str">
        <f ca="1">Sprache!$A$53</f>
        <v>TIOMOS hinge T-Click-on</v>
      </c>
      <c r="K462" t="str">
        <f ca="1">"120°, G-BB, K03, "&amp;Sprache!A59&amp;", ni"</f>
        <v>120°, G-BB, K03, Dowel, ni</v>
      </c>
      <c r="L462" t="str">
        <f ca="1">Sprache!$A$63</f>
        <v>TIOMOS Click-on hinges</v>
      </c>
      <c r="M462">
        <v>3</v>
      </c>
      <c r="N462" t="s">
        <v>13</v>
      </c>
      <c r="O462">
        <v>120</v>
      </c>
      <c r="P462">
        <v>0</v>
      </c>
      <c r="Q462">
        <v>1</v>
      </c>
      <c r="R462">
        <v>0</v>
      </c>
      <c r="S462">
        <v>0</v>
      </c>
      <c r="T462">
        <v>1</v>
      </c>
      <c r="U462">
        <v>0</v>
      </c>
      <c r="V462" s="14" t="s">
        <v>518</v>
      </c>
    </row>
    <row r="463" spans="1:22" ht="14.25" customHeight="1" x14ac:dyDescent="0.25">
      <c r="A463" s="48" t="str">
        <f>LEFT(Tabelle1[[#This Row],[Artikel'#]],4)</f>
        <v>F045</v>
      </c>
      <c r="B463" s="46" t="str">
        <f>MID(Tabelle1[[#This Row],[Artikel'#]],5,3)</f>
        <v>138</v>
      </c>
      <c r="C463" s="48" t="str">
        <f>RIGHT(Tabelle1[[#This Row],[Artikel'#]],3)</f>
        <v>309</v>
      </c>
      <c r="D463" s="46">
        <f>IF(Tabelle1[[#This Row],[Winkel2]]=select!$A$2,1,0)</f>
        <v>0</v>
      </c>
      <c r="E4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63" s="46">
        <f>IF(select!$E$16=IF(Tabelle1[[#This Row],[mit Dämpfung]]=1,1,IF(Tabelle1[[#This Row],[ohne Dämpfung]]=1,2,IF(Tabelle1[[#This Row],[ohne Feder]]=1,3,0))),1,0)</f>
        <v>0</v>
      </c>
      <c r="G463" s="46">
        <f>IF(Tabelle1[[#This Row],[Links]]=select!$I$2,1,0)</f>
        <v>0</v>
      </c>
      <c r="H463" s="46">
        <f>IF(IF(Tabelle1[[#This Row],[Anschrauben]]=1,1,IF(Tabelle1[[#This Row],[Einpressen]]=1,2,IF(Tabelle1[[#This Row],[Werkzeuglos]]=1,3,0)))=select!$E$7,1,0)</f>
        <v>1</v>
      </c>
      <c r="I463" s="46">
        <f ca="1">IF(Tabelle1[[#This Row],[Winkel]]+Tabelle1[[#This Row],[Kröpfung]]+Tabelle1[[#This Row],[Däpfung]]+Tabelle1[[#This Row],[Bohrbild]]+Tabelle1[[#This Row],[Scharnierbefestigung]]=5,1,0)</f>
        <v>0</v>
      </c>
      <c r="J463" t="str">
        <f ca="1">Sprache!$A$53</f>
        <v>TIOMOS hinge T-Click-on</v>
      </c>
      <c r="K463" t="str">
        <f ca="1">"120°, G-BB, K95, "&amp;Sprache!A59&amp;", ni"</f>
        <v>120°, G-BB, K95, Dowel, ni</v>
      </c>
      <c r="L463" t="str">
        <f ca="1">Sprache!$A$63</f>
        <v>TIOMOS Click-on hinges</v>
      </c>
      <c r="M463">
        <v>9.5</v>
      </c>
      <c r="N463" t="s">
        <v>13</v>
      </c>
      <c r="O463">
        <v>120</v>
      </c>
      <c r="P463">
        <v>0</v>
      </c>
      <c r="Q463">
        <v>1</v>
      </c>
      <c r="R463">
        <v>0</v>
      </c>
      <c r="S463">
        <v>0</v>
      </c>
      <c r="T463">
        <v>1</v>
      </c>
      <c r="U463">
        <v>0</v>
      </c>
      <c r="V463" s="14" t="s">
        <v>519</v>
      </c>
    </row>
    <row r="464" spans="1:22" ht="14.25" customHeight="1" x14ac:dyDescent="0.25">
      <c r="A464" s="48" t="str">
        <f>LEFT(Tabelle1[[#This Row],[Artikel'#]],4)</f>
        <v>F045</v>
      </c>
      <c r="B464" s="46" t="str">
        <f>MID(Tabelle1[[#This Row],[Artikel'#]],5,3)</f>
        <v>138</v>
      </c>
      <c r="C464" s="48" t="str">
        <f>RIGHT(Tabelle1[[#This Row],[Artikel'#]],3)</f>
        <v>317</v>
      </c>
      <c r="D464" s="46">
        <f>IF(Tabelle1[[#This Row],[Winkel2]]=select!$A$2,1,0)</f>
        <v>0</v>
      </c>
      <c r="E4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4" s="46">
        <f>IF(select!$E$16=IF(Tabelle1[[#This Row],[mit Dämpfung]]=1,1,IF(Tabelle1[[#This Row],[ohne Dämpfung]]=1,2,IF(Tabelle1[[#This Row],[ohne Feder]]=1,3,0))),1,0)</f>
        <v>0</v>
      </c>
      <c r="G464" s="46">
        <f>IF(Tabelle1[[#This Row],[Links]]=select!$I$2,1,0)</f>
        <v>0</v>
      </c>
      <c r="H464" s="46">
        <f>IF(IF(Tabelle1[[#This Row],[Anschrauben]]=1,1,IF(Tabelle1[[#This Row],[Einpressen]]=1,2,IF(Tabelle1[[#This Row],[Werkzeuglos]]=1,3,0)))=select!$E$7,1,0)</f>
        <v>0</v>
      </c>
      <c r="I464" s="46">
        <f ca="1">IF(Tabelle1[[#This Row],[Winkel]]+Tabelle1[[#This Row],[Kröpfung]]+Tabelle1[[#This Row],[Däpfung]]+Tabelle1[[#This Row],[Bohrbild]]+Tabelle1[[#This Row],[Scharnierbefestigung]]=5,1,0)</f>
        <v>0</v>
      </c>
      <c r="J464" t="str">
        <f ca="1">Sprache!$A$53</f>
        <v>TIOMOS hinge T-Click-on</v>
      </c>
      <c r="K464" t="s">
        <v>318</v>
      </c>
      <c r="L464" t="str">
        <f ca="1">Sprache!$A$63</f>
        <v>TIOMOS Click-on hinges</v>
      </c>
      <c r="M464">
        <v>0</v>
      </c>
      <c r="N464" s="13" t="s">
        <v>13</v>
      </c>
      <c r="O464">
        <v>160</v>
      </c>
      <c r="P464">
        <v>0</v>
      </c>
      <c r="Q464">
        <v>1</v>
      </c>
      <c r="R464">
        <v>0</v>
      </c>
      <c r="S464">
        <v>1</v>
      </c>
      <c r="T464">
        <v>0</v>
      </c>
      <c r="U464">
        <v>0</v>
      </c>
      <c r="V464" s="14" t="s">
        <v>520</v>
      </c>
    </row>
    <row r="465" spans="1:22" ht="14.25" customHeight="1" x14ac:dyDescent="0.25">
      <c r="A465" s="48" t="str">
        <f>LEFT(Tabelle1[[#This Row],[Artikel'#]],4)</f>
        <v>F045</v>
      </c>
      <c r="B465" s="46" t="str">
        <f>MID(Tabelle1[[#This Row],[Artikel'#]],5,3)</f>
        <v>138</v>
      </c>
      <c r="C465" s="48" t="str">
        <f>RIGHT(Tabelle1[[#This Row],[Artikel'#]],3)</f>
        <v>318</v>
      </c>
      <c r="D465" s="46">
        <f>IF(Tabelle1[[#This Row],[Winkel2]]=select!$A$2,1,0)</f>
        <v>0</v>
      </c>
      <c r="E4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5" s="46">
        <f>IF(select!$E$16=IF(Tabelle1[[#This Row],[mit Dämpfung]]=1,1,IF(Tabelle1[[#This Row],[ohne Dämpfung]]=1,2,IF(Tabelle1[[#This Row],[ohne Feder]]=1,3,0))),1,0)</f>
        <v>0</v>
      </c>
      <c r="G465" s="46">
        <f>IF(Tabelle1[[#This Row],[Links]]=select!$I$2,1,0)</f>
        <v>0</v>
      </c>
      <c r="H465" s="46">
        <f>IF(IF(Tabelle1[[#This Row],[Anschrauben]]=1,1,IF(Tabelle1[[#This Row],[Einpressen]]=1,2,IF(Tabelle1[[#This Row],[Werkzeuglos]]=1,3,0)))=select!$E$7,1,0)</f>
        <v>0</v>
      </c>
      <c r="I465" s="46">
        <f ca="1">IF(Tabelle1[[#This Row],[Winkel]]+Tabelle1[[#This Row],[Kröpfung]]+Tabelle1[[#This Row],[Däpfung]]+Tabelle1[[#This Row],[Bohrbild]]+Tabelle1[[#This Row],[Scharnierbefestigung]]=5,1,0)</f>
        <v>0</v>
      </c>
      <c r="J465" t="str">
        <f ca="1">Sprache!$A$53</f>
        <v>TIOMOS hinge T-Click-on</v>
      </c>
      <c r="K465" t="s">
        <v>320</v>
      </c>
      <c r="L465" t="str">
        <f ca="1">Sprache!$A$63</f>
        <v>TIOMOS Click-on hinges</v>
      </c>
      <c r="M465">
        <v>3</v>
      </c>
      <c r="N465" t="s">
        <v>13</v>
      </c>
      <c r="O465">
        <v>160</v>
      </c>
      <c r="P465">
        <v>0</v>
      </c>
      <c r="Q465">
        <v>1</v>
      </c>
      <c r="R465">
        <v>0</v>
      </c>
      <c r="S465">
        <v>1</v>
      </c>
      <c r="T465">
        <v>0</v>
      </c>
      <c r="U465">
        <v>0</v>
      </c>
      <c r="V465" s="14" t="s">
        <v>521</v>
      </c>
    </row>
    <row r="466" spans="1:22" ht="14.25" customHeight="1" x14ac:dyDescent="0.25">
      <c r="A466" s="48" t="str">
        <f>LEFT(Tabelle1[[#This Row],[Artikel'#]],4)</f>
        <v>F045</v>
      </c>
      <c r="B466" s="46" t="str">
        <f>MID(Tabelle1[[#This Row],[Artikel'#]],5,3)</f>
        <v>138</v>
      </c>
      <c r="C466" s="48" t="str">
        <f>RIGHT(Tabelle1[[#This Row],[Artikel'#]],3)</f>
        <v>319</v>
      </c>
      <c r="D466" s="46">
        <f>IF(Tabelle1[[#This Row],[Winkel2]]=select!$A$2,1,0)</f>
        <v>0</v>
      </c>
      <c r="E4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66" s="46">
        <f>IF(select!$E$16=IF(Tabelle1[[#This Row],[mit Dämpfung]]=1,1,IF(Tabelle1[[#This Row],[ohne Dämpfung]]=1,2,IF(Tabelle1[[#This Row],[ohne Feder]]=1,3,0))),1,0)</f>
        <v>0</v>
      </c>
      <c r="G466" s="46">
        <f>IF(Tabelle1[[#This Row],[Links]]=select!$I$2,1,0)</f>
        <v>0</v>
      </c>
      <c r="H466" s="46">
        <f>IF(IF(Tabelle1[[#This Row],[Anschrauben]]=1,1,IF(Tabelle1[[#This Row],[Einpressen]]=1,2,IF(Tabelle1[[#This Row],[Werkzeuglos]]=1,3,0)))=select!$E$7,1,0)</f>
        <v>0</v>
      </c>
      <c r="I466" s="46">
        <f ca="1">IF(Tabelle1[[#This Row],[Winkel]]+Tabelle1[[#This Row],[Kröpfung]]+Tabelle1[[#This Row],[Däpfung]]+Tabelle1[[#This Row],[Bohrbild]]+Tabelle1[[#This Row],[Scharnierbefestigung]]=5,1,0)</f>
        <v>0</v>
      </c>
      <c r="J466" t="str">
        <f ca="1">Sprache!$A$53</f>
        <v>TIOMOS hinge T-Click-on</v>
      </c>
      <c r="K466" t="s">
        <v>322</v>
      </c>
      <c r="L466" t="str">
        <f ca="1">Sprache!$A$63</f>
        <v>TIOMOS Click-on hinges</v>
      </c>
      <c r="M466">
        <v>9.5</v>
      </c>
      <c r="N466" t="s">
        <v>13</v>
      </c>
      <c r="O466">
        <v>160</v>
      </c>
      <c r="P466">
        <v>0</v>
      </c>
      <c r="Q466">
        <v>1</v>
      </c>
      <c r="R466">
        <v>0</v>
      </c>
      <c r="S466">
        <v>1</v>
      </c>
      <c r="T466">
        <v>0</v>
      </c>
      <c r="U466">
        <v>0</v>
      </c>
      <c r="V466" s="14" t="s">
        <v>522</v>
      </c>
    </row>
    <row r="467" spans="1:22" ht="14.25" customHeight="1" x14ac:dyDescent="0.25">
      <c r="A467" s="48" t="str">
        <f>LEFT(Tabelle1[[#This Row],[Artikel'#]],4)</f>
        <v>F045</v>
      </c>
      <c r="B467" s="46" t="str">
        <f>MID(Tabelle1[[#This Row],[Artikel'#]],5,3)</f>
        <v>138</v>
      </c>
      <c r="C467" s="48" t="str">
        <f>RIGHT(Tabelle1[[#This Row],[Artikel'#]],3)</f>
        <v>320</v>
      </c>
      <c r="D467" s="46">
        <f>IF(Tabelle1[[#This Row],[Winkel2]]=select!$A$2,1,0)</f>
        <v>0</v>
      </c>
      <c r="E4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7" s="46">
        <f>IF(select!$E$16=IF(Tabelle1[[#This Row],[mit Dämpfung]]=1,1,IF(Tabelle1[[#This Row],[ohne Dämpfung]]=1,2,IF(Tabelle1[[#This Row],[ohne Feder]]=1,3,0))),1,0)</f>
        <v>0</v>
      </c>
      <c r="G467" s="46">
        <f>IF(Tabelle1[[#This Row],[Links]]=select!$I$2,1,0)</f>
        <v>0</v>
      </c>
      <c r="H467" s="46">
        <f>IF(IF(Tabelle1[[#This Row],[Anschrauben]]=1,1,IF(Tabelle1[[#This Row],[Einpressen]]=1,2,IF(Tabelle1[[#This Row],[Werkzeuglos]]=1,3,0)))=select!$E$7,1,0)</f>
        <v>1</v>
      </c>
      <c r="I467" s="46">
        <f ca="1">IF(Tabelle1[[#This Row],[Winkel]]+Tabelle1[[#This Row],[Kröpfung]]+Tabelle1[[#This Row],[Däpfung]]+Tabelle1[[#This Row],[Bohrbild]]+Tabelle1[[#This Row],[Scharnierbefestigung]]=5,1,0)</f>
        <v>0</v>
      </c>
      <c r="J467" t="str">
        <f ca="1">Sprache!$A$53</f>
        <v>TIOMOS hinge T-Click-on</v>
      </c>
      <c r="K467" t="str">
        <f ca="1">"160°, G-BB, K00, "&amp;Sprache!A59&amp;", ni"</f>
        <v>160°, G-BB, K00, Dowel, ni</v>
      </c>
      <c r="L467" t="str">
        <f ca="1">Sprache!$A$63</f>
        <v>TIOMOS Click-on hinges</v>
      </c>
      <c r="M467">
        <v>0</v>
      </c>
      <c r="N467" s="13" t="s">
        <v>13</v>
      </c>
      <c r="O467">
        <v>160</v>
      </c>
      <c r="P467">
        <v>0</v>
      </c>
      <c r="Q467">
        <v>1</v>
      </c>
      <c r="R467">
        <v>0</v>
      </c>
      <c r="S467">
        <v>0</v>
      </c>
      <c r="T467">
        <v>1</v>
      </c>
      <c r="U467">
        <v>0</v>
      </c>
      <c r="V467" s="14" t="s">
        <v>523</v>
      </c>
    </row>
    <row r="468" spans="1:22" ht="14.25" customHeight="1" x14ac:dyDescent="0.25">
      <c r="A468" s="48" t="str">
        <f>LEFT(Tabelle1[[#This Row],[Artikel'#]],4)</f>
        <v>F045</v>
      </c>
      <c r="B468" s="46" t="str">
        <f>MID(Tabelle1[[#This Row],[Artikel'#]],5,3)</f>
        <v>138</v>
      </c>
      <c r="C468" s="48" t="str">
        <f>RIGHT(Tabelle1[[#This Row],[Artikel'#]],3)</f>
        <v>321</v>
      </c>
      <c r="D468" s="46">
        <f>IF(Tabelle1[[#This Row],[Winkel2]]=select!$A$2,1,0)</f>
        <v>0</v>
      </c>
      <c r="E4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68" s="46">
        <f>IF(select!$E$16=IF(Tabelle1[[#This Row],[mit Dämpfung]]=1,1,IF(Tabelle1[[#This Row],[ohne Dämpfung]]=1,2,IF(Tabelle1[[#This Row],[ohne Feder]]=1,3,0))),1,0)</f>
        <v>0</v>
      </c>
      <c r="G468" s="46">
        <f>IF(Tabelle1[[#This Row],[Links]]=select!$I$2,1,0)</f>
        <v>0</v>
      </c>
      <c r="H468" s="46">
        <f>IF(IF(Tabelle1[[#This Row],[Anschrauben]]=1,1,IF(Tabelle1[[#This Row],[Einpressen]]=1,2,IF(Tabelle1[[#This Row],[Werkzeuglos]]=1,3,0)))=select!$E$7,1,0)</f>
        <v>1</v>
      </c>
      <c r="I468" s="46">
        <f ca="1">IF(Tabelle1[[#This Row],[Winkel]]+Tabelle1[[#This Row],[Kröpfung]]+Tabelle1[[#This Row],[Däpfung]]+Tabelle1[[#This Row],[Bohrbild]]+Tabelle1[[#This Row],[Scharnierbefestigung]]=5,1,0)</f>
        <v>0</v>
      </c>
      <c r="J468" t="str">
        <f ca="1">Sprache!$A$53</f>
        <v>TIOMOS hinge T-Click-on</v>
      </c>
      <c r="K468" t="str">
        <f ca="1">"160°, G-BB, K03, "&amp;Sprache!A59&amp;", ni"</f>
        <v>160°, G-BB, K03, Dowel, ni</v>
      </c>
      <c r="L468" t="str">
        <f ca="1">Sprache!$A$63</f>
        <v>TIOMOS Click-on hinges</v>
      </c>
      <c r="M468">
        <v>3</v>
      </c>
      <c r="N468" t="s">
        <v>13</v>
      </c>
      <c r="O468">
        <v>160</v>
      </c>
      <c r="P468">
        <v>0</v>
      </c>
      <c r="Q468">
        <v>1</v>
      </c>
      <c r="R468">
        <v>0</v>
      </c>
      <c r="S468">
        <v>0</v>
      </c>
      <c r="T468">
        <v>1</v>
      </c>
      <c r="U468">
        <v>0</v>
      </c>
      <c r="V468" s="14" t="s">
        <v>524</v>
      </c>
    </row>
    <row r="469" spans="1:22" ht="14.25" customHeight="1" x14ac:dyDescent="0.25">
      <c r="A469" s="48" t="str">
        <f>LEFT(Tabelle1[[#This Row],[Artikel'#]],4)</f>
        <v>F045</v>
      </c>
      <c r="B469" s="46" t="str">
        <f>MID(Tabelle1[[#This Row],[Artikel'#]],5,3)</f>
        <v>138</v>
      </c>
      <c r="C469" s="48" t="str">
        <f>RIGHT(Tabelle1[[#This Row],[Artikel'#]],3)</f>
        <v>322</v>
      </c>
      <c r="D469" s="46">
        <f>IF(Tabelle1[[#This Row],[Winkel2]]=select!$A$2,1,0)</f>
        <v>0</v>
      </c>
      <c r="E4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69" s="46">
        <f>IF(select!$E$16=IF(Tabelle1[[#This Row],[mit Dämpfung]]=1,1,IF(Tabelle1[[#This Row],[ohne Dämpfung]]=1,2,IF(Tabelle1[[#This Row],[ohne Feder]]=1,3,0))),1,0)</f>
        <v>0</v>
      </c>
      <c r="G469" s="46">
        <f>IF(Tabelle1[[#This Row],[Links]]=select!$I$2,1,0)</f>
        <v>0</v>
      </c>
      <c r="H469" s="46">
        <f>IF(IF(Tabelle1[[#This Row],[Anschrauben]]=1,1,IF(Tabelle1[[#This Row],[Einpressen]]=1,2,IF(Tabelle1[[#This Row],[Werkzeuglos]]=1,3,0)))=select!$E$7,1,0)</f>
        <v>1</v>
      </c>
      <c r="I469" s="46">
        <f ca="1">IF(Tabelle1[[#This Row],[Winkel]]+Tabelle1[[#This Row],[Kröpfung]]+Tabelle1[[#This Row],[Däpfung]]+Tabelle1[[#This Row],[Bohrbild]]+Tabelle1[[#This Row],[Scharnierbefestigung]]=5,1,0)</f>
        <v>0</v>
      </c>
      <c r="J469" t="str">
        <f ca="1">Sprache!$A$53</f>
        <v>TIOMOS hinge T-Click-on</v>
      </c>
      <c r="K469" t="str">
        <f ca="1">"160°, G-BB, K95, "&amp;Sprache!A59&amp;", ni"</f>
        <v>160°, G-BB, K95, Dowel, ni</v>
      </c>
      <c r="L469" t="str">
        <f ca="1">Sprache!$A$63</f>
        <v>TIOMOS Click-on hinges</v>
      </c>
      <c r="M469">
        <v>9.5</v>
      </c>
      <c r="N469" t="s">
        <v>13</v>
      </c>
      <c r="O469">
        <v>160</v>
      </c>
      <c r="P469">
        <v>0</v>
      </c>
      <c r="Q469">
        <v>1</v>
      </c>
      <c r="R469">
        <v>0</v>
      </c>
      <c r="S469">
        <v>0</v>
      </c>
      <c r="T469">
        <v>1</v>
      </c>
      <c r="U469">
        <v>0</v>
      </c>
      <c r="V469" s="14" t="s">
        <v>525</v>
      </c>
    </row>
    <row r="470" spans="1:22" ht="14.25" customHeight="1" x14ac:dyDescent="0.25">
      <c r="A470" s="48" t="str">
        <f>LEFT(Tabelle1[[#This Row],[Artikel'#]],4)</f>
        <v>F045</v>
      </c>
      <c r="B470" s="46" t="str">
        <f>MID(Tabelle1[[#This Row],[Artikel'#]],5,3)</f>
        <v>138</v>
      </c>
      <c r="C470" s="48" t="str">
        <f>RIGHT(Tabelle1[[#This Row],[Artikel'#]],3)</f>
        <v>323</v>
      </c>
      <c r="D470" s="46">
        <f>IF(Tabelle1[[#This Row],[Winkel2]]=select!$A$2,1,0)</f>
        <v>0</v>
      </c>
      <c r="E4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0" s="46">
        <f>IF(select!$E$16=IF(Tabelle1[[#This Row],[mit Dämpfung]]=1,1,IF(Tabelle1[[#This Row],[ohne Dämpfung]]=1,2,IF(Tabelle1[[#This Row],[ohne Feder]]=1,3,0))),1,0)</f>
        <v>0</v>
      </c>
      <c r="G470" s="46">
        <f>IF(Tabelle1[[#This Row],[Links]]=select!$I$2,1,0)</f>
        <v>0</v>
      </c>
      <c r="H470" s="46">
        <f>IF(IF(Tabelle1[[#This Row],[Anschrauben]]=1,1,IF(Tabelle1[[#This Row],[Einpressen]]=1,2,IF(Tabelle1[[#This Row],[Werkzeuglos]]=1,3,0)))=select!$E$7,1,0)</f>
        <v>0</v>
      </c>
      <c r="I470" s="46">
        <f ca="1">IF(Tabelle1[[#This Row],[Winkel]]+Tabelle1[[#This Row],[Kröpfung]]+Tabelle1[[#This Row],[Däpfung]]+Tabelle1[[#This Row],[Bohrbild]]+Tabelle1[[#This Row],[Scharnierbefestigung]]=5,1,0)</f>
        <v>0</v>
      </c>
      <c r="J470" t="str">
        <f ca="1">Sprache!$A$53</f>
        <v>TIOMOS hinge T-Click-on</v>
      </c>
      <c r="K470" t="s">
        <v>327</v>
      </c>
      <c r="L470" t="str">
        <f ca="1">Sprache!$A$63</f>
        <v>TIOMOS Click-on hinges</v>
      </c>
      <c r="M470">
        <v>0</v>
      </c>
      <c r="N470" t="s">
        <v>13</v>
      </c>
      <c r="O470">
        <v>95</v>
      </c>
      <c r="P470">
        <v>0</v>
      </c>
      <c r="Q470">
        <v>1</v>
      </c>
      <c r="R470">
        <v>0</v>
      </c>
      <c r="S470">
        <v>1</v>
      </c>
      <c r="T470">
        <v>0</v>
      </c>
      <c r="U470">
        <v>0</v>
      </c>
      <c r="V470" s="14" t="s">
        <v>526</v>
      </c>
    </row>
    <row r="471" spans="1:22" ht="14.25" customHeight="1" x14ac:dyDescent="0.25">
      <c r="A471" s="48" t="str">
        <f>LEFT(Tabelle1[[#This Row],[Artikel'#]],4)</f>
        <v>F045</v>
      </c>
      <c r="B471" s="46" t="str">
        <f>MID(Tabelle1[[#This Row],[Artikel'#]],5,3)</f>
        <v>138</v>
      </c>
      <c r="C471" s="48" t="str">
        <f>RIGHT(Tabelle1[[#This Row],[Artikel'#]],3)</f>
        <v>324</v>
      </c>
      <c r="D471" s="46">
        <f>IF(Tabelle1[[#This Row],[Winkel2]]=select!$A$2,1,0)</f>
        <v>0</v>
      </c>
      <c r="E4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1" s="46">
        <f>IF(select!$E$16=IF(Tabelle1[[#This Row],[mit Dämpfung]]=1,1,IF(Tabelle1[[#This Row],[ohne Dämpfung]]=1,2,IF(Tabelle1[[#This Row],[ohne Feder]]=1,3,0))),1,0)</f>
        <v>0</v>
      </c>
      <c r="G471" s="46">
        <f>IF(Tabelle1[[#This Row],[Links]]=select!$I$2,1,0)</f>
        <v>0</v>
      </c>
      <c r="H471" s="46">
        <f>IF(IF(Tabelle1[[#This Row],[Anschrauben]]=1,1,IF(Tabelle1[[#This Row],[Einpressen]]=1,2,IF(Tabelle1[[#This Row],[Werkzeuglos]]=1,3,0)))=select!$E$7,1,0)</f>
        <v>0</v>
      </c>
      <c r="I471" s="46">
        <f ca="1">IF(Tabelle1[[#This Row],[Winkel]]+Tabelle1[[#This Row],[Kröpfung]]+Tabelle1[[#This Row],[Däpfung]]+Tabelle1[[#This Row],[Bohrbild]]+Tabelle1[[#This Row],[Scharnierbefestigung]]=5,1,0)</f>
        <v>0</v>
      </c>
      <c r="J471" t="str">
        <f ca="1">Sprache!$A$53</f>
        <v>TIOMOS hinge T-Click-on</v>
      </c>
      <c r="K471" t="s">
        <v>329</v>
      </c>
      <c r="L471" t="str">
        <f ca="1">Sprache!$A$63</f>
        <v>TIOMOS Click-on hinges</v>
      </c>
      <c r="M471">
        <v>3</v>
      </c>
      <c r="N471" t="s">
        <v>13</v>
      </c>
      <c r="O471">
        <v>95</v>
      </c>
      <c r="P471">
        <v>0</v>
      </c>
      <c r="Q471">
        <v>1</v>
      </c>
      <c r="R471">
        <v>0</v>
      </c>
      <c r="S471">
        <v>1</v>
      </c>
      <c r="T471">
        <v>0</v>
      </c>
      <c r="U471">
        <v>0</v>
      </c>
      <c r="V471" s="14" t="s">
        <v>527</v>
      </c>
    </row>
    <row r="472" spans="1:22" ht="14.25" customHeight="1" x14ac:dyDescent="0.25">
      <c r="A472" s="48" t="str">
        <f>LEFT(Tabelle1[[#This Row],[Artikel'#]],4)</f>
        <v>F045</v>
      </c>
      <c r="B472" s="46" t="str">
        <f>MID(Tabelle1[[#This Row],[Artikel'#]],5,3)</f>
        <v>138</v>
      </c>
      <c r="C472" s="48" t="str">
        <f>RIGHT(Tabelle1[[#This Row],[Artikel'#]],3)</f>
        <v>325</v>
      </c>
      <c r="D472" s="46">
        <f>IF(Tabelle1[[#This Row],[Winkel2]]=select!$A$2,1,0)</f>
        <v>0</v>
      </c>
      <c r="E4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72" s="46">
        <f>IF(select!$E$16=IF(Tabelle1[[#This Row],[mit Dämpfung]]=1,1,IF(Tabelle1[[#This Row],[ohne Dämpfung]]=1,2,IF(Tabelle1[[#This Row],[ohne Feder]]=1,3,0))),1,0)</f>
        <v>0</v>
      </c>
      <c r="G472" s="46">
        <f>IF(Tabelle1[[#This Row],[Links]]=select!$I$2,1,0)</f>
        <v>0</v>
      </c>
      <c r="H472" s="46">
        <f>IF(IF(Tabelle1[[#This Row],[Anschrauben]]=1,1,IF(Tabelle1[[#This Row],[Einpressen]]=1,2,IF(Tabelle1[[#This Row],[Werkzeuglos]]=1,3,0)))=select!$E$7,1,0)</f>
        <v>0</v>
      </c>
      <c r="I472" s="46">
        <f ca="1">IF(Tabelle1[[#This Row],[Winkel]]+Tabelle1[[#This Row],[Kröpfung]]+Tabelle1[[#This Row],[Däpfung]]+Tabelle1[[#This Row],[Bohrbild]]+Tabelle1[[#This Row],[Scharnierbefestigung]]=5,1,0)</f>
        <v>0</v>
      </c>
      <c r="J472" t="str">
        <f ca="1">Sprache!$A$53</f>
        <v>TIOMOS hinge T-Click-on</v>
      </c>
      <c r="K472" t="s">
        <v>331</v>
      </c>
      <c r="L472" t="str">
        <f ca="1">Sprache!$A$63</f>
        <v>TIOMOS Click-on hinges</v>
      </c>
      <c r="M472">
        <v>9.5</v>
      </c>
      <c r="N472" t="s">
        <v>13</v>
      </c>
      <c r="O472">
        <v>95</v>
      </c>
      <c r="P472">
        <v>0</v>
      </c>
      <c r="Q472">
        <v>1</v>
      </c>
      <c r="R472">
        <v>0</v>
      </c>
      <c r="S472">
        <v>1</v>
      </c>
      <c r="T472">
        <v>0</v>
      </c>
      <c r="U472">
        <v>0</v>
      </c>
      <c r="V472" s="14" t="s">
        <v>528</v>
      </c>
    </row>
    <row r="473" spans="1:22" ht="14.25" customHeight="1" x14ac:dyDescent="0.25">
      <c r="A473" s="48" t="str">
        <f>LEFT(Tabelle1[[#This Row],[Artikel'#]],4)</f>
        <v>F045</v>
      </c>
      <c r="B473" s="46" t="str">
        <f>MID(Tabelle1[[#This Row],[Artikel'#]],5,3)</f>
        <v>138</v>
      </c>
      <c r="C473" s="48" t="str">
        <f>RIGHT(Tabelle1[[#This Row],[Artikel'#]],3)</f>
        <v>326</v>
      </c>
      <c r="D473" s="46">
        <f>IF(Tabelle1[[#This Row],[Winkel2]]=select!$A$2,1,0)</f>
        <v>0</v>
      </c>
      <c r="E4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3" s="46">
        <f>IF(select!$E$16=IF(Tabelle1[[#This Row],[mit Dämpfung]]=1,1,IF(Tabelle1[[#This Row],[ohne Dämpfung]]=1,2,IF(Tabelle1[[#This Row],[ohne Feder]]=1,3,0))),1,0)</f>
        <v>0</v>
      </c>
      <c r="G473" s="46">
        <f>IF(Tabelle1[[#This Row],[Links]]=select!$I$2,1,0)</f>
        <v>0</v>
      </c>
      <c r="H473" s="46">
        <f>IF(IF(Tabelle1[[#This Row],[Anschrauben]]=1,1,IF(Tabelle1[[#This Row],[Einpressen]]=1,2,IF(Tabelle1[[#This Row],[Werkzeuglos]]=1,3,0)))=select!$E$7,1,0)</f>
        <v>0</v>
      </c>
      <c r="I473" s="46">
        <f ca="1">IF(Tabelle1[[#This Row],[Winkel]]+Tabelle1[[#This Row],[Kröpfung]]+Tabelle1[[#This Row],[Däpfung]]+Tabelle1[[#This Row],[Bohrbild]]+Tabelle1[[#This Row],[Scharnierbefestigung]]=5,1,0)</f>
        <v>0</v>
      </c>
      <c r="J473" t="str">
        <f ca="1">Sprache!$A$53</f>
        <v>TIOMOS hinge T-Click-on</v>
      </c>
      <c r="K473" t="s">
        <v>333</v>
      </c>
      <c r="L473" t="str">
        <f ca="1">Sprache!$A$63</f>
        <v>TIOMOS Click-on hinges</v>
      </c>
      <c r="M473">
        <v>19</v>
      </c>
      <c r="N473" t="s">
        <v>13</v>
      </c>
      <c r="O473">
        <v>95</v>
      </c>
      <c r="P473">
        <v>0</v>
      </c>
      <c r="Q473">
        <v>1</v>
      </c>
      <c r="R473">
        <v>0</v>
      </c>
      <c r="S473">
        <v>1</v>
      </c>
      <c r="T473">
        <v>0</v>
      </c>
      <c r="U473">
        <v>0</v>
      </c>
      <c r="V473" s="14" t="s">
        <v>529</v>
      </c>
    </row>
    <row r="474" spans="1:22" ht="14.25" customHeight="1" x14ac:dyDescent="0.25">
      <c r="A474" s="48" t="str">
        <f>LEFT(Tabelle1[[#This Row],[Artikel'#]],4)</f>
        <v>F045</v>
      </c>
      <c r="B474" s="46" t="str">
        <f>MID(Tabelle1[[#This Row],[Artikel'#]],5,3)</f>
        <v>138</v>
      </c>
      <c r="C474" s="48" t="str">
        <f>RIGHT(Tabelle1[[#This Row],[Artikel'#]],3)</f>
        <v>327</v>
      </c>
      <c r="D474" s="46">
        <f>IF(Tabelle1[[#This Row],[Winkel2]]=select!$A$2,1,0)</f>
        <v>0</v>
      </c>
      <c r="E4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4" s="46">
        <f>IF(select!$E$16=IF(Tabelle1[[#This Row],[mit Dämpfung]]=1,1,IF(Tabelle1[[#This Row],[ohne Dämpfung]]=1,2,IF(Tabelle1[[#This Row],[ohne Feder]]=1,3,0))),1,0)</f>
        <v>0</v>
      </c>
      <c r="G474" s="46">
        <f>IF(Tabelle1[[#This Row],[Links]]=select!$I$2,1,0)</f>
        <v>0</v>
      </c>
      <c r="H474" s="46">
        <f>IF(IF(Tabelle1[[#This Row],[Anschrauben]]=1,1,IF(Tabelle1[[#This Row],[Einpressen]]=1,2,IF(Tabelle1[[#This Row],[Werkzeuglos]]=1,3,0)))=select!$E$7,1,0)</f>
        <v>1</v>
      </c>
      <c r="I474" s="46">
        <f ca="1">IF(Tabelle1[[#This Row],[Winkel]]+Tabelle1[[#This Row],[Kröpfung]]+Tabelle1[[#This Row],[Däpfung]]+Tabelle1[[#This Row],[Bohrbild]]+Tabelle1[[#This Row],[Scharnierbefestigung]]=5,1,0)</f>
        <v>0</v>
      </c>
      <c r="J474" t="str">
        <f ca="1">Sprache!$A$53</f>
        <v>TIOMOS hinge T-Click-on</v>
      </c>
      <c r="K474" t="str">
        <f ca="1">"95°, G-BB, K00, "&amp;Sprache!A59&amp;", ni"</f>
        <v>95°, G-BB, K00, Dowel, ni</v>
      </c>
      <c r="L474" t="str">
        <f ca="1">Sprache!$A$63</f>
        <v>TIOMOS Click-on hinges</v>
      </c>
      <c r="M474">
        <v>0</v>
      </c>
      <c r="N474" t="s">
        <v>13</v>
      </c>
      <c r="O474">
        <v>95</v>
      </c>
      <c r="P474">
        <v>0</v>
      </c>
      <c r="Q474">
        <v>1</v>
      </c>
      <c r="R474">
        <v>0</v>
      </c>
      <c r="S474">
        <v>0</v>
      </c>
      <c r="T474">
        <v>1</v>
      </c>
      <c r="U474">
        <v>0</v>
      </c>
      <c r="V474" s="14" t="s">
        <v>530</v>
      </c>
    </row>
    <row r="475" spans="1:22" ht="14.25" customHeight="1" x14ac:dyDescent="0.25">
      <c r="A475" s="48" t="str">
        <f>LEFT(Tabelle1[[#This Row],[Artikel'#]],4)</f>
        <v>F045</v>
      </c>
      <c r="B475" s="46" t="str">
        <f>MID(Tabelle1[[#This Row],[Artikel'#]],5,3)</f>
        <v>138</v>
      </c>
      <c r="C475" s="48" t="str">
        <f>RIGHT(Tabelle1[[#This Row],[Artikel'#]],3)</f>
        <v>328</v>
      </c>
      <c r="D475" s="46">
        <f>IF(Tabelle1[[#This Row],[Winkel2]]=select!$A$2,1,0)</f>
        <v>0</v>
      </c>
      <c r="E4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5" s="46">
        <f>IF(select!$E$16=IF(Tabelle1[[#This Row],[mit Dämpfung]]=1,1,IF(Tabelle1[[#This Row],[ohne Dämpfung]]=1,2,IF(Tabelle1[[#This Row],[ohne Feder]]=1,3,0))),1,0)</f>
        <v>0</v>
      </c>
      <c r="G475" s="46">
        <f>IF(Tabelle1[[#This Row],[Links]]=select!$I$2,1,0)</f>
        <v>0</v>
      </c>
      <c r="H475" s="46">
        <f>IF(IF(Tabelle1[[#This Row],[Anschrauben]]=1,1,IF(Tabelle1[[#This Row],[Einpressen]]=1,2,IF(Tabelle1[[#This Row],[Werkzeuglos]]=1,3,0)))=select!$E$7,1,0)</f>
        <v>1</v>
      </c>
      <c r="I475" s="46">
        <f ca="1">IF(Tabelle1[[#This Row],[Winkel]]+Tabelle1[[#This Row],[Kröpfung]]+Tabelle1[[#This Row],[Däpfung]]+Tabelle1[[#This Row],[Bohrbild]]+Tabelle1[[#This Row],[Scharnierbefestigung]]=5,1,0)</f>
        <v>0</v>
      </c>
      <c r="J475" t="str">
        <f ca="1">Sprache!$A$53</f>
        <v>TIOMOS hinge T-Click-on</v>
      </c>
      <c r="K475" t="str">
        <f ca="1">"95°, G-BB, K03, "&amp;Sprache!A59&amp;", ni"</f>
        <v>95°, G-BB, K03, Dowel, ni</v>
      </c>
      <c r="L475" t="str">
        <f ca="1">Sprache!$A$63</f>
        <v>TIOMOS Click-on hinges</v>
      </c>
      <c r="M475">
        <v>3</v>
      </c>
      <c r="N475" t="s">
        <v>13</v>
      </c>
      <c r="O475">
        <v>95</v>
      </c>
      <c r="P475">
        <v>0</v>
      </c>
      <c r="Q475">
        <v>1</v>
      </c>
      <c r="R475">
        <v>0</v>
      </c>
      <c r="S475">
        <v>0</v>
      </c>
      <c r="T475">
        <v>1</v>
      </c>
      <c r="U475">
        <v>0</v>
      </c>
      <c r="V475" s="14" t="s">
        <v>531</v>
      </c>
    </row>
    <row r="476" spans="1:22" ht="14.25" customHeight="1" x14ac:dyDescent="0.25">
      <c r="A476" s="48" t="str">
        <f>LEFT(Tabelle1[[#This Row],[Artikel'#]],4)</f>
        <v>F045</v>
      </c>
      <c r="B476" s="46" t="str">
        <f>MID(Tabelle1[[#This Row],[Artikel'#]],5,3)</f>
        <v>138</v>
      </c>
      <c r="C476" s="48" t="str">
        <f>RIGHT(Tabelle1[[#This Row],[Artikel'#]],3)</f>
        <v>329</v>
      </c>
      <c r="D476" s="46">
        <f>IF(Tabelle1[[#This Row],[Winkel2]]=select!$A$2,1,0)</f>
        <v>0</v>
      </c>
      <c r="E4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76" s="46">
        <f>IF(select!$E$16=IF(Tabelle1[[#This Row],[mit Dämpfung]]=1,1,IF(Tabelle1[[#This Row],[ohne Dämpfung]]=1,2,IF(Tabelle1[[#This Row],[ohne Feder]]=1,3,0))),1,0)</f>
        <v>0</v>
      </c>
      <c r="G476" s="46">
        <f>IF(Tabelle1[[#This Row],[Links]]=select!$I$2,1,0)</f>
        <v>0</v>
      </c>
      <c r="H476" s="46">
        <f>IF(IF(Tabelle1[[#This Row],[Anschrauben]]=1,1,IF(Tabelle1[[#This Row],[Einpressen]]=1,2,IF(Tabelle1[[#This Row],[Werkzeuglos]]=1,3,0)))=select!$E$7,1,0)</f>
        <v>1</v>
      </c>
      <c r="I476" s="46">
        <f ca="1">IF(Tabelle1[[#This Row],[Winkel]]+Tabelle1[[#This Row],[Kröpfung]]+Tabelle1[[#This Row],[Däpfung]]+Tabelle1[[#This Row],[Bohrbild]]+Tabelle1[[#This Row],[Scharnierbefestigung]]=5,1,0)</f>
        <v>0</v>
      </c>
      <c r="J476" t="str">
        <f ca="1">Sprache!$A$53</f>
        <v>TIOMOS hinge T-Click-on</v>
      </c>
      <c r="K476" t="str">
        <f ca="1">"95°, G-BB, K95, "&amp;Sprache!A59&amp;", ni"</f>
        <v>95°, G-BB, K95, Dowel, ni</v>
      </c>
      <c r="L476" t="str">
        <f ca="1">Sprache!$A$63</f>
        <v>TIOMOS Click-on hinges</v>
      </c>
      <c r="M476">
        <v>9.5</v>
      </c>
      <c r="N476" t="s">
        <v>13</v>
      </c>
      <c r="O476">
        <v>95</v>
      </c>
      <c r="P476">
        <v>0</v>
      </c>
      <c r="Q476">
        <v>1</v>
      </c>
      <c r="R476">
        <v>0</v>
      </c>
      <c r="S476">
        <v>0</v>
      </c>
      <c r="T476">
        <v>1</v>
      </c>
      <c r="U476">
        <v>0</v>
      </c>
      <c r="V476" s="14" t="s">
        <v>532</v>
      </c>
    </row>
    <row r="477" spans="1:22" ht="14.25" customHeight="1" x14ac:dyDescent="0.25">
      <c r="A477" s="48" t="str">
        <f>LEFT(Tabelle1[[#This Row],[Artikel'#]],4)</f>
        <v>F045</v>
      </c>
      <c r="B477" s="46" t="str">
        <f>MID(Tabelle1[[#This Row],[Artikel'#]],5,3)</f>
        <v>138</v>
      </c>
      <c r="C477" s="48" t="str">
        <f>RIGHT(Tabelle1[[#This Row],[Artikel'#]],3)</f>
        <v>330</v>
      </c>
      <c r="D477" s="46">
        <f>IF(Tabelle1[[#This Row],[Winkel2]]=select!$A$2,1,0)</f>
        <v>0</v>
      </c>
      <c r="E4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7" s="46">
        <f>IF(select!$E$16=IF(Tabelle1[[#This Row],[mit Dämpfung]]=1,1,IF(Tabelle1[[#This Row],[ohne Dämpfung]]=1,2,IF(Tabelle1[[#This Row],[ohne Feder]]=1,3,0))),1,0)</f>
        <v>0</v>
      </c>
      <c r="G477" s="46">
        <f>IF(Tabelle1[[#This Row],[Links]]=select!$I$2,1,0)</f>
        <v>0</v>
      </c>
      <c r="H477" s="46">
        <f>IF(IF(Tabelle1[[#This Row],[Anschrauben]]=1,1,IF(Tabelle1[[#This Row],[Einpressen]]=1,2,IF(Tabelle1[[#This Row],[Werkzeuglos]]=1,3,0)))=select!$E$7,1,0)</f>
        <v>1</v>
      </c>
      <c r="I477" s="46">
        <f ca="1">IF(Tabelle1[[#This Row],[Winkel]]+Tabelle1[[#This Row],[Kröpfung]]+Tabelle1[[#This Row],[Däpfung]]+Tabelle1[[#This Row],[Bohrbild]]+Tabelle1[[#This Row],[Scharnierbefestigung]]=5,1,0)</f>
        <v>0</v>
      </c>
      <c r="J477" t="str">
        <f ca="1">Sprache!$A$53</f>
        <v>TIOMOS hinge T-Click-on</v>
      </c>
      <c r="K477" t="str">
        <f ca="1">"95°, G-BB, K19, "&amp;Sprache!A59&amp;", ni"</f>
        <v>95°, G-BB, K19, Dowel, ni</v>
      </c>
      <c r="L477" t="str">
        <f ca="1">Sprache!$A$63</f>
        <v>TIOMOS Click-on hinges</v>
      </c>
      <c r="M477">
        <v>19</v>
      </c>
      <c r="N477" t="s">
        <v>13</v>
      </c>
      <c r="O477">
        <v>95</v>
      </c>
      <c r="P477">
        <v>0</v>
      </c>
      <c r="Q477">
        <v>1</v>
      </c>
      <c r="R477">
        <v>0</v>
      </c>
      <c r="S477">
        <v>0</v>
      </c>
      <c r="T477">
        <v>1</v>
      </c>
      <c r="U477">
        <v>0</v>
      </c>
      <c r="V477" s="14" t="s">
        <v>533</v>
      </c>
    </row>
    <row r="478" spans="1:22" ht="14.25" customHeight="1" x14ac:dyDescent="0.25">
      <c r="A478" s="48" t="str">
        <f>LEFT(Tabelle1[[#This Row],[Artikel'#]],4)</f>
        <v>F045</v>
      </c>
      <c r="B478" s="46" t="str">
        <f>MID(Tabelle1[[#This Row],[Artikel'#]],5,3)</f>
        <v>138</v>
      </c>
      <c r="C478" s="48" t="str">
        <f>RIGHT(Tabelle1[[#This Row],[Artikel'#]],3)</f>
        <v>457</v>
      </c>
      <c r="D478" s="46">
        <f>IF(Tabelle1[[#This Row],[Winkel2]]=select!$A$2,1,0)</f>
        <v>1</v>
      </c>
      <c r="E4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8" s="46">
        <f>IF(select!$E$16=IF(Tabelle1[[#This Row],[mit Dämpfung]]=1,1,IF(Tabelle1[[#This Row],[ohne Dämpfung]]=1,2,IF(Tabelle1[[#This Row],[ohne Feder]]=1,3,0))),1,0)</f>
        <v>0</v>
      </c>
      <c r="G478" s="46">
        <f>IF(Tabelle1[[#This Row],[Links]]=select!$I$2,1,0)</f>
        <v>1</v>
      </c>
      <c r="H478" s="46">
        <f>IF(IF(Tabelle1[[#This Row],[Anschrauben]]=1,1,IF(Tabelle1[[#This Row],[Einpressen]]=1,2,IF(Tabelle1[[#This Row],[Werkzeuglos]]=1,3,0)))=select!$E$7,1,0)</f>
        <v>0</v>
      </c>
      <c r="I478" s="46">
        <f ca="1">IF(Tabelle1[[#This Row],[Winkel]]+Tabelle1[[#This Row],[Kröpfung]]+Tabelle1[[#This Row],[Däpfung]]+Tabelle1[[#This Row],[Bohrbild]]+Tabelle1[[#This Row],[Scharnierbefestigung]]=5,1,0)</f>
        <v>0</v>
      </c>
      <c r="J478" t="str">
        <f ca="1">Sprache!$A$53</f>
        <v>TIOMOS hinge T-Click-on</v>
      </c>
      <c r="K478" t="s">
        <v>338</v>
      </c>
      <c r="L478" t="str">
        <f ca="1">Sprache!$A$63</f>
        <v>TIOMOS Click-on hinges</v>
      </c>
      <c r="M478">
        <v>0</v>
      </c>
      <c r="N478" t="s">
        <v>3</v>
      </c>
      <c r="O478">
        <v>110</v>
      </c>
      <c r="P478">
        <v>0</v>
      </c>
      <c r="Q478">
        <v>1</v>
      </c>
      <c r="R478">
        <v>0</v>
      </c>
      <c r="S478">
        <v>1</v>
      </c>
      <c r="T478">
        <v>0</v>
      </c>
      <c r="U478">
        <v>0</v>
      </c>
      <c r="V478" s="14" t="s">
        <v>534</v>
      </c>
    </row>
    <row r="479" spans="1:22" ht="14.25" customHeight="1" x14ac:dyDescent="0.25">
      <c r="A479" s="48" t="str">
        <f>LEFT(Tabelle1[[#This Row],[Artikel'#]],4)</f>
        <v>F045</v>
      </c>
      <c r="B479" s="46" t="str">
        <f>MID(Tabelle1[[#This Row],[Artikel'#]],5,3)</f>
        <v>138</v>
      </c>
      <c r="C479" s="48" t="str">
        <f>RIGHT(Tabelle1[[#This Row],[Artikel'#]],3)</f>
        <v>458</v>
      </c>
      <c r="D479" s="46">
        <f>IF(Tabelle1[[#This Row],[Winkel2]]=select!$A$2,1,0)</f>
        <v>1</v>
      </c>
      <c r="E4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79" s="46">
        <f>IF(select!$E$16=IF(Tabelle1[[#This Row],[mit Dämpfung]]=1,1,IF(Tabelle1[[#This Row],[ohne Dämpfung]]=1,2,IF(Tabelle1[[#This Row],[ohne Feder]]=1,3,0))),1,0)</f>
        <v>0</v>
      </c>
      <c r="G479" s="46">
        <f>IF(Tabelle1[[#This Row],[Links]]=select!$I$2,1,0)</f>
        <v>1</v>
      </c>
      <c r="H479" s="46">
        <f>IF(IF(Tabelle1[[#This Row],[Anschrauben]]=1,1,IF(Tabelle1[[#This Row],[Einpressen]]=1,2,IF(Tabelle1[[#This Row],[Werkzeuglos]]=1,3,0)))=select!$E$7,1,0)</f>
        <v>0</v>
      </c>
      <c r="I479" s="46">
        <f ca="1">IF(Tabelle1[[#This Row],[Winkel]]+Tabelle1[[#This Row],[Kröpfung]]+Tabelle1[[#This Row],[Däpfung]]+Tabelle1[[#This Row],[Bohrbild]]+Tabelle1[[#This Row],[Scharnierbefestigung]]=5,1,0)</f>
        <v>0</v>
      </c>
      <c r="J479" t="str">
        <f ca="1">Sprache!$A$53</f>
        <v>TIOMOS hinge T-Click-on</v>
      </c>
      <c r="K479" t="s">
        <v>340</v>
      </c>
      <c r="L479" t="str">
        <f ca="1">Sprache!$A$63</f>
        <v>TIOMOS Click-on hinges</v>
      </c>
      <c r="M479">
        <v>3</v>
      </c>
      <c r="N479" t="s">
        <v>3</v>
      </c>
      <c r="O479">
        <v>110</v>
      </c>
      <c r="P479">
        <v>0</v>
      </c>
      <c r="Q479">
        <v>1</v>
      </c>
      <c r="R479">
        <v>0</v>
      </c>
      <c r="S479">
        <v>1</v>
      </c>
      <c r="T479">
        <v>0</v>
      </c>
      <c r="U479">
        <v>0</v>
      </c>
      <c r="V479" s="14" t="s">
        <v>535</v>
      </c>
    </row>
    <row r="480" spans="1:22" ht="14.25" customHeight="1" x14ac:dyDescent="0.25">
      <c r="A480" s="48" t="str">
        <f>LEFT(Tabelle1[[#This Row],[Artikel'#]],4)</f>
        <v>F045</v>
      </c>
      <c r="B480" s="46" t="str">
        <f>MID(Tabelle1[[#This Row],[Artikel'#]],5,3)</f>
        <v>138</v>
      </c>
      <c r="C480" s="48" t="str">
        <f>RIGHT(Tabelle1[[#This Row],[Artikel'#]],3)</f>
        <v>459</v>
      </c>
      <c r="D480" s="46">
        <f>IF(Tabelle1[[#This Row],[Winkel2]]=select!$A$2,1,0)</f>
        <v>1</v>
      </c>
      <c r="E4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80" s="46">
        <f>IF(select!$E$16=IF(Tabelle1[[#This Row],[mit Dämpfung]]=1,1,IF(Tabelle1[[#This Row],[ohne Dämpfung]]=1,2,IF(Tabelle1[[#This Row],[ohne Feder]]=1,3,0))),1,0)</f>
        <v>0</v>
      </c>
      <c r="G480" s="46">
        <f>IF(Tabelle1[[#This Row],[Links]]=select!$I$2,1,0)</f>
        <v>1</v>
      </c>
      <c r="H480" s="46">
        <f>IF(IF(Tabelle1[[#This Row],[Anschrauben]]=1,1,IF(Tabelle1[[#This Row],[Einpressen]]=1,2,IF(Tabelle1[[#This Row],[Werkzeuglos]]=1,3,0)))=select!$E$7,1,0)</f>
        <v>0</v>
      </c>
      <c r="I480" s="46">
        <f ca="1">IF(Tabelle1[[#This Row],[Winkel]]+Tabelle1[[#This Row],[Kröpfung]]+Tabelle1[[#This Row],[Däpfung]]+Tabelle1[[#This Row],[Bohrbild]]+Tabelle1[[#This Row],[Scharnierbefestigung]]=5,1,0)</f>
        <v>0</v>
      </c>
      <c r="J480" t="str">
        <f ca="1">Sprache!$A$53</f>
        <v>TIOMOS hinge T-Click-on</v>
      </c>
      <c r="K480" t="s">
        <v>342</v>
      </c>
      <c r="L480" t="str">
        <f ca="1">Sprache!$A$63</f>
        <v>TIOMOS Click-on hinges</v>
      </c>
      <c r="M480">
        <v>9.5</v>
      </c>
      <c r="N480" t="s">
        <v>3</v>
      </c>
      <c r="O480">
        <v>110</v>
      </c>
      <c r="P480">
        <v>0</v>
      </c>
      <c r="Q480">
        <v>1</v>
      </c>
      <c r="R480">
        <v>0</v>
      </c>
      <c r="S480">
        <v>1</v>
      </c>
      <c r="T480">
        <v>0</v>
      </c>
      <c r="U480">
        <v>0</v>
      </c>
      <c r="V480" s="14" t="s">
        <v>536</v>
      </c>
    </row>
    <row r="481" spans="1:22" ht="14.25" customHeight="1" x14ac:dyDescent="0.25">
      <c r="A481" s="48" t="str">
        <f>LEFT(Tabelle1[[#This Row],[Artikel'#]],4)</f>
        <v>F045</v>
      </c>
      <c r="B481" s="46" t="str">
        <f>MID(Tabelle1[[#This Row],[Artikel'#]],5,3)</f>
        <v>138</v>
      </c>
      <c r="C481" s="48" t="str">
        <f>RIGHT(Tabelle1[[#This Row],[Artikel'#]],3)</f>
        <v>460</v>
      </c>
      <c r="D481" s="46">
        <f>IF(Tabelle1[[#This Row],[Winkel2]]=select!$A$2,1,0)</f>
        <v>1</v>
      </c>
      <c r="E4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1" s="46">
        <f>IF(select!$E$16=IF(Tabelle1[[#This Row],[mit Dämpfung]]=1,1,IF(Tabelle1[[#This Row],[ohne Dämpfung]]=1,2,IF(Tabelle1[[#This Row],[ohne Feder]]=1,3,0))),1,0)</f>
        <v>0</v>
      </c>
      <c r="G481" s="46">
        <f>IF(Tabelle1[[#This Row],[Links]]=select!$I$2,1,0)</f>
        <v>1</v>
      </c>
      <c r="H481" s="46">
        <f>IF(IF(Tabelle1[[#This Row],[Anschrauben]]=1,1,IF(Tabelle1[[#This Row],[Einpressen]]=1,2,IF(Tabelle1[[#This Row],[Werkzeuglos]]=1,3,0)))=select!$E$7,1,0)</f>
        <v>0</v>
      </c>
      <c r="I481" s="46">
        <f ca="1">IF(Tabelle1[[#This Row],[Winkel]]+Tabelle1[[#This Row],[Kröpfung]]+Tabelle1[[#This Row],[Däpfung]]+Tabelle1[[#This Row],[Bohrbild]]+Tabelle1[[#This Row],[Scharnierbefestigung]]=5,1,0)</f>
        <v>0</v>
      </c>
      <c r="J481" t="str">
        <f ca="1">Sprache!$A$53</f>
        <v>TIOMOS hinge T-Click-on</v>
      </c>
      <c r="K481" t="s">
        <v>344</v>
      </c>
      <c r="L481" t="str">
        <f ca="1">Sprache!$A$63</f>
        <v>TIOMOS Click-on hinges</v>
      </c>
      <c r="M481">
        <v>19</v>
      </c>
      <c r="N481" t="s">
        <v>3</v>
      </c>
      <c r="O481">
        <v>110</v>
      </c>
      <c r="P481">
        <v>0</v>
      </c>
      <c r="Q481">
        <v>1</v>
      </c>
      <c r="R481">
        <v>0</v>
      </c>
      <c r="S481">
        <v>1</v>
      </c>
      <c r="T481">
        <v>0</v>
      </c>
      <c r="U481">
        <v>0</v>
      </c>
      <c r="V481" s="14" t="s">
        <v>537</v>
      </c>
    </row>
    <row r="482" spans="1:22" ht="14.25" customHeight="1" x14ac:dyDescent="0.25">
      <c r="A482" s="48" t="str">
        <f>LEFT(Tabelle1[[#This Row],[Artikel'#]],4)</f>
        <v>F045</v>
      </c>
      <c r="B482" s="46" t="str">
        <f>MID(Tabelle1[[#This Row],[Artikel'#]],5,3)</f>
        <v>138</v>
      </c>
      <c r="C482" s="48" t="str">
        <f>RIGHT(Tabelle1[[#This Row],[Artikel'#]],3)</f>
        <v>461</v>
      </c>
      <c r="D482" s="46">
        <f>IF(Tabelle1[[#This Row],[Winkel2]]=select!$A$2,1,0)</f>
        <v>1</v>
      </c>
      <c r="E4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2" s="46">
        <f>IF(select!$E$16=IF(Tabelle1[[#This Row],[mit Dämpfung]]=1,1,IF(Tabelle1[[#This Row],[ohne Dämpfung]]=1,2,IF(Tabelle1[[#This Row],[ohne Feder]]=1,3,0))),1,0)</f>
        <v>0</v>
      </c>
      <c r="G482" s="46">
        <f>IF(Tabelle1[[#This Row],[Links]]=select!$I$2,1,0)</f>
        <v>1</v>
      </c>
      <c r="H482" s="46">
        <f>IF(IF(Tabelle1[[#This Row],[Anschrauben]]=1,1,IF(Tabelle1[[#This Row],[Einpressen]]=1,2,IF(Tabelle1[[#This Row],[Werkzeuglos]]=1,3,0)))=select!$E$7,1,0)</f>
        <v>1</v>
      </c>
      <c r="I482" s="46">
        <f ca="1">IF(Tabelle1[[#This Row],[Winkel]]+Tabelle1[[#This Row],[Kröpfung]]+Tabelle1[[#This Row],[Däpfung]]+Tabelle1[[#This Row],[Bohrbild]]+Tabelle1[[#This Row],[Scharnierbefestigung]]=5,1,0)</f>
        <v>0</v>
      </c>
      <c r="J482" t="str">
        <f ca="1">Sprache!$A$53</f>
        <v>TIOMOS hinge T-Click-on</v>
      </c>
      <c r="K482" t="str">
        <f ca="1">"110°, B-BB, K00, "&amp;Sprache!A59&amp;", ni"</f>
        <v>110°, B-BB, K00, Dowel, ni</v>
      </c>
      <c r="L482" t="str">
        <f ca="1">Sprache!$A$63</f>
        <v>TIOMOS Click-on hinges</v>
      </c>
      <c r="M482">
        <v>0</v>
      </c>
      <c r="N482" t="s">
        <v>3</v>
      </c>
      <c r="O482">
        <v>110</v>
      </c>
      <c r="P482">
        <v>0</v>
      </c>
      <c r="Q482">
        <v>1</v>
      </c>
      <c r="R482">
        <v>0</v>
      </c>
      <c r="S482">
        <v>0</v>
      </c>
      <c r="T482">
        <v>1</v>
      </c>
      <c r="U482">
        <v>0</v>
      </c>
      <c r="V482" s="14" t="s">
        <v>46</v>
      </c>
    </row>
    <row r="483" spans="1:22" ht="14.25" customHeight="1" x14ac:dyDescent="0.25">
      <c r="A483" s="48" t="str">
        <f>LEFT(Tabelle1[[#This Row],[Artikel'#]],4)</f>
        <v>F045</v>
      </c>
      <c r="B483" s="46" t="str">
        <f>MID(Tabelle1[[#This Row],[Artikel'#]],5,3)</f>
        <v>138</v>
      </c>
      <c r="C483" s="48" t="str">
        <f>RIGHT(Tabelle1[[#This Row],[Artikel'#]],3)</f>
        <v>462</v>
      </c>
      <c r="D483" s="46">
        <f>IF(Tabelle1[[#This Row],[Winkel2]]=select!$A$2,1,0)</f>
        <v>1</v>
      </c>
      <c r="E4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3" s="46">
        <f>IF(select!$E$16=IF(Tabelle1[[#This Row],[mit Dämpfung]]=1,1,IF(Tabelle1[[#This Row],[ohne Dämpfung]]=1,2,IF(Tabelle1[[#This Row],[ohne Feder]]=1,3,0))),1,0)</f>
        <v>0</v>
      </c>
      <c r="G483" s="46">
        <f>IF(Tabelle1[[#This Row],[Links]]=select!$I$2,1,0)</f>
        <v>1</v>
      </c>
      <c r="H483" s="46">
        <f>IF(IF(Tabelle1[[#This Row],[Anschrauben]]=1,1,IF(Tabelle1[[#This Row],[Einpressen]]=1,2,IF(Tabelle1[[#This Row],[Werkzeuglos]]=1,3,0)))=select!$E$7,1,0)</f>
        <v>1</v>
      </c>
      <c r="I483" s="46">
        <f ca="1">IF(Tabelle1[[#This Row],[Winkel]]+Tabelle1[[#This Row],[Kröpfung]]+Tabelle1[[#This Row],[Däpfung]]+Tabelle1[[#This Row],[Bohrbild]]+Tabelle1[[#This Row],[Scharnierbefestigung]]=5,1,0)</f>
        <v>0</v>
      </c>
      <c r="J483" t="str">
        <f ca="1">Sprache!$A$53</f>
        <v>TIOMOS hinge T-Click-on</v>
      </c>
      <c r="K483" t="str">
        <f ca="1">"110°, B-BB, K03, "&amp;Sprache!A59&amp;", ni"</f>
        <v>110°, B-BB, K03, Dowel, ni</v>
      </c>
      <c r="L483" t="str">
        <f ca="1">Sprache!$A$63</f>
        <v>TIOMOS Click-on hinges</v>
      </c>
      <c r="M483">
        <v>3</v>
      </c>
      <c r="N483" t="s">
        <v>3</v>
      </c>
      <c r="O483">
        <v>110</v>
      </c>
      <c r="P483">
        <v>0</v>
      </c>
      <c r="Q483">
        <v>1</v>
      </c>
      <c r="R483">
        <v>0</v>
      </c>
      <c r="S483">
        <v>0</v>
      </c>
      <c r="T483">
        <v>1</v>
      </c>
      <c r="U483">
        <v>0</v>
      </c>
      <c r="V483" s="14" t="s">
        <v>538</v>
      </c>
    </row>
    <row r="484" spans="1:22" ht="14.25" customHeight="1" x14ac:dyDescent="0.25">
      <c r="A484" s="48" t="str">
        <f>LEFT(Tabelle1[[#This Row],[Artikel'#]],4)</f>
        <v>F045</v>
      </c>
      <c r="B484" s="46" t="str">
        <f>MID(Tabelle1[[#This Row],[Artikel'#]],5,3)</f>
        <v>138</v>
      </c>
      <c r="C484" s="48" t="str">
        <f>RIGHT(Tabelle1[[#This Row],[Artikel'#]],3)</f>
        <v>463</v>
      </c>
      <c r="D484" s="46">
        <f>IF(Tabelle1[[#This Row],[Winkel2]]=select!$A$2,1,0)</f>
        <v>1</v>
      </c>
      <c r="E4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84" s="46">
        <f>IF(select!$E$16=IF(Tabelle1[[#This Row],[mit Dämpfung]]=1,1,IF(Tabelle1[[#This Row],[ohne Dämpfung]]=1,2,IF(Tabelle1[[#This Row],[ohne Feder]]=1,3,0))),1,0)</f>
        <v>0</v>
      </c>
      <c r="G484" s="46">
        <f>IF(Tabelle1[[#This Row],[Links]]=select!$I$2,1,0)</f>
        <v>1</v>
      </c>
      <c r="H484" s="46">
        <f>IF(IF(Tabelle1[[#This Row],[Anschrauben]]=1,1,IF(Tabelle1[[#This Row],[Einpressen]]=1,2,IF(Tabelle1[[#This Row],[Werkzeuglos]]=1,3,0)))=select!$E$7,1,0)</f>
        <v>1</v>
      </c>
      <c r="I484" s="46">
        <f ca="1">IF(Tabelle1[[#This Row],[Winkel]]+Tabelle1[[#This Row],[Kröpfung]]+Tabelle1[[#This Row],[Däpfung]]+Tabelle1[[#This Row],[Bohrbild]]+Tabelle1[[#This Row],[Scharnierbefestigung]]=5,1,0)</f>
        <v>0</v>
      </c>
      <c r="J484" t="str">
        <f ca="1">Sprache!$A$53</f>
        <v>TIOMOS hinge T-Click-on</v>
      </c>
      <c r="K484" t="str">
        <f ca="1">"110°, B-BB, K95, "&amp;Sprache!A59&amp;", ni"</f>
        <v>110°, B-BB, K95, Dowel, ni</v>
      </c>
      <c r="L484" t="str">
        <f ca="1">Sprache!$A$63</f>
        <v>TIOMOS Click-on hinges</v>
      </c>
      <c r="M484">
        <v>9.5</v>
      </c>
      <c r="N484" t="s">
        <v>3</v>
      </c>
      <c r="O484">
        <v>110</v>
      </c>
      <c r="P484">
        <v>0</v>
      </c>
      <c r="Q484">
        <v>1</v>
      </c>
      <c r="R484">
        <v>0</v>
      </c>
      <c r="S484">
        <v>0</v>
      </c>
      <c r="T484">
        <v>1</v>
      </c>
      <c r="U484">
        <v>0</v>
      </c>
      <c r="V484" s="14" t="s">
        <v>539</v>
      </c>
    </row>
    <row r="485" spans="1:22" ht="14.25" customHeight="1" x14ac:dyDescent="0.25">
      <c r="A485" s="48" t="str">
        <f>LEFT(Tabelle1[[#This Row],[Artikel'#]],4)</f>
        <v>F045</v>
      </c>
      <c r="B485" s="46" t="str">
        <f>MID(Tabelle1[[#This Row],[Artikel'#]],5,3)</f>
        <v>138</v>
      </c>
      <c r="C485" s="48" t="str">
        <f>RIGHT(Tabelle1[[#This Row],[Artikel'#]],3)</f>
        <v>464</v>
      </c>
      <c r="D485" s="46">
        <f>IF(Tabelle1[[#This Row],[Winkel2]]=select!$A$2,1,0)</f>
        <v>1</v>
      </c>
      <c r="E4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5" s="46">
        <f>IF(select!$E$16=IF(Tabelle1[[#This Row],[mit Dämpfung]]=1,1,IF(Tabelle1[[#This Row],[ohne Dämpfung]]=1,2,IF(Tabelle1[[#This Row],[ohne Feder]]=1,3,0))),1,0)</f>
        <v>0</v>
      </c>
      <c r="G485" s="46">
        <f>IF(Tabelle1[[#This Row],[Links]]=select!$I$2,1,0)</f>
        <v>1</v>
      </c>
      <c r="H485" s="46">
        <f>IF(IF(Tabelle1[[#This Row],[Anschrauben]]=1,1,IF(Tabelle1[[#This Row],[Einpressen]]=1,2,IF(Tabelle1[[#This Row],[Werkzeuglos]]=1,3,0)))=select!$E$7,1,0)</f>
        <v>1</v>
      </c>
      <c r="I485" s="46">
        <f ca="1">IF(Tabelle1[[#This Row],[Winkel]]+Tabelle1[[#This Row],[Kröpfung]]+Tabelle1[[#This Row],[Däpfung]]+Tabelle1[[#This Row],[Bohrbild]]+Tabelle1[[#This Row],[Scharnierbefestigung]]=5,1,0)</f>
        <v>0</v>
      </c>
      <c r="J485" t="str">
        <f ca="1">Sprache!$A$53</f>
        <v>TIOMOS hinge T-Click-on</v>
      </c>
      <c r="K485" t="str">
        <f ca="1">"110°, B-BB, K19, "&amp;Sprache!A59&amp;", ni"</f>
        <v>110°, B-BB, K19, Dowel, ni</v>
      </c>
      <c r="L485" t="str">
        <f ca="1">Sprache!$A$63</f>
        <v>TIOMOS Click-on hinges</v>
      </c>
      <c r="M485">
        <v>19</v>
      </c>
      <c r="N485" t="s">
        <v>3</v>
      </c>
      <c r="O485">
        <v>110</v>
      </c>
      <c r="P485">
        <v>0</v>
      </c>
      <c r="Q485">
        <v>1</v>
      </c>
      <c r="R485">
        <v>0</v>
      </c>
      <c r="S485">
        <v>0</v>
      </c>
      <c r="T485">
        <v>1</v>
      </c>
      <c r="U485">
        <v>0</v>
      </c>
      <c r="V485" s="14" t="s">
        <v>540</v>
      </c>
    </row>
    <row r="486" spans="1:22" ht="14.25" customHeight="1" x14ac:dyDescent="0.25">
      <c r="A486" s="48" t="str">
        <f>LEFT(Tabelle1[[#This Row],[Artikel'#]],4)</f>
        <v>F045</v>
      </c>
      <c r="B486" s="46" t="str">
        <f>MID(Tabelle1[[#This Row],[Artikel'#]],5,3)</f>
        <v>138</v>
      </c>
      <c r="C486" s="48" t="str">
        <f>RIGHT(Tabelle1[[#This Row],[Artikel'#]],3)</f>
        <v>485</v>
      </c>
      <c r="D486" s="46">
        <f>IF(Tabelle1[[#This Row],[Winkel2]]=select!$A$2,1,0)</f>
        <v>0</v>
      </c>
      <c r="E4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6" s="46">
        <f>IF(select!$E$16=IF(Tabelle1[[#This Row],[mit Dämpfung]]=1,1,IF(Tabelle1[[#This Row],[ohne Dämpfung]]=1,2,IF(Tabelle1[[#This Row],[ohne Feder]]=1,3,0))),1,0)</f>
        <v>0</v>
      </c>
      <c r="G486" s="46">
        <f>IF(Tabelle1[[#This Row],[Links]]=select!$I$2,1,0)</f>
        <v>1</v>
      </c>
      <c r="H486" s="46">
        <f>IF(IF(Tabelle1[[#This Row],[Anschrauben]]=1,1,IF(Tabelle1[[#This Row],[Einpressen]]=1,2,IF(Tabelle1[[#This Row],[Werkzeuglos]]=1,3,0)))=select!$E$7,1,0)</f>
        <v>0</v>
      </c>
      <c r="I486" s="46">
        <f ca="1">IF(Tabelle1[[#This Row],[Winkel]]+Tabelle1[[#This Row],[Kröpfung]]+Tabelle1[[#This Row],[Däpfung]]+Tabelle1[[#This Row],[Bohrbild]]+Tabelle1[[#This Row],[Scharnierbefestigung]]=5,1,0)</f>
        <v>0</v>
      </c>
      <c r="J486" t="str">
        <f ca="1">Sprache!$A$53</f>
        <v>TIOMOS hinge T-Click-on</v>
      </c>
      <c r="K486" t="s">
        <v>349</v>
      </c>
      <c r="L486" t="str">
        <f ca="1">Sprache!$A$63</f>
        <v>TIOMOS Click-on hinges</v>
      </c>
      <c r="M486">
        <v>0</v>
      </c>
      <c r="N486" t="s">
        <v>3</v>
      </c>
      <c r="O486">
        <v>120</v>
      </c>
      <c r="P486">
        <v>0</v>
      </c>
      <c r="Q486">
        <v>1</v>
      </c>
      <c r="R486">
        <v>0</v>
      </c>
      <c r="S486">
        <v>1</v>
      </c>
      <c r="T486">
        <v>0</v>
      </c>
      <c r="U486">
        <v>0</v>
      </c>
      <c r="V486" s="14" t="s">
        <v>541</v>
      </c>
    </row>
    <row r="487" spans="1:22" ht="14.25" customHeight="1" x14ac:dyDescent="0.25">
      <c r="A487" s="48" t="str">
        <f>LEFT(Tabelle1[[#This Row],[Artikel'#]],4)</f>
        <v>F045</v>
      </c>
      <c r="B487" s="46" t="str">
        <f>MID(Tabelle1[[#This Row],[Artikel'#]],5,3)</f>
        <v>138</v>
      </c>
      <c r="C487" s="48" t="str">
        <f>RIGHT(Tabelle1[[#This Row],[Artikel'#]],3)</f>
        <v>486</v>
      </c>
      <c r="D487" s="46">
        <f>IF(Tabelle1[[#This Row],[Winkel2]]=select!$A$2,1,0)</f>
        <v>0</v>
      </c>
      <c r="E4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7" s="46">
        <f>IF(select!$E$16=IF(Tabelle1[[#This Row],[mit Dämpfung]]=1,1,IF(Tabelle1[[#This Row],[ohne Dämpfung]]=1,2,IF(Tabelle1[[#This Row],[ohne Feder]]=1,3,0))),1,0)</f>
        <v>0</v>
      </c>
      <c r="G487" s="46">
        <f>IF(Tabelle1[[#This Row],[Links]]=select!$I$2,1,0)</f>
        <v>1</v>
      </c>
      <c r="H487" s="46">
        <f>IF(IF(Tabelle1[[#This Row],[Anschrauben]]=1,1,IF(Tabelle1[[#This Row],[Einpressen]]=1,2,IF(Tabelle1[[#This Row],[Werkzeuglos]]=1,3,0)))=select!$E$7,1,0)</f>
        <v>0</v>
      </c>
      <c r="I487" s="46">
        <f ca="1">IF(Tabelle1[[#This Row],[Winkel]]+Tabelle1[[#This Row],[Kröpfung]]+Tabelle1[[#This Row],[Däpfung]]+Tabelle1[[#This Row],[Bohrbild]]+Tabelle1[[#This Row],[Scharnierbefestigung]]=5,1,0)</f>
        <v>0</v>
      </c>
      <c r="J487" t="str">
        <f ca="1">Sprache!$A$53</f>
        <v>TIOMOS hinge T-Click-on</v>
      </c>
      <c r="K487" t="s">
        <v>351</v>
      </c>
      <c r="L487" t="str">
        <f ca="1">Sprache!$A$63</f>
        <v>TIOMOS Click-on hinges</v>
      </c>
      <c r="M487">
        <v>3</v>
      </c>
      <c r="N487" t="s">
        <v>3</v>
      </c>
      <c r="O487">
        <v>120</v>
      </c>
      <c r="P487">
        <v>0</v>
      </c>
      <c r="Q487">
        <v>1</v>
      </c>
      <c r="R487">
        <v>0</v>
      </c>
      <c r="S487">
        <v>1</v>
      </c>
      <c r="T487">
        <v>0</v>
      </c>
      <c r="U487">
        <v>0</v>
      </c>
      <c r="V487" s="14" t="s">
        <v>542</v>
      </c>
    </row>
    <row r="488" spans="1:22" ht="14.25" customHeight="1" x14ac:dyDescent="0.25">
      <c r="A488" s="48" t="str">
        <f>LEFT(Tabelle1[[#This Row],[Artikel'#]],4)</f>
        <v>F045</v>
      </c>
      <c r="B488" s="46" t="str">
        <f>MID(Tabelle1[[#This Row],[Artikel'#]],5,3)</f>
        <v>138</v>
      </c>
      <c r="C488" s="48" t="str">
        <f>RIGHT(Tabelle1[[#This Row],[Artikel'#]],3)</f>
        <v>487</v>
      </c>
      <c r="D488" s="46">
        <f>IF(Tabelle1[[#This Row],[Winkel2]]=select!$A$2,1,0)</f>
        <v>0</v>
      </c>
      <c r="E4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88" s="46">
        <f>IF(select!$E$16=IF(Tabelle1[[#This Row],[mit Dämpfung]]=1,1,IF(Tabelle1[[#This Row],[ohne Dämpfung]]=1,2,IF(Tabelle1[[#This Row],[ohne Feder]]=1,3,0))),1,0)</f>
        <v>0</v>
      </c>
      <c r="G488" s="46">
        <f>IF(Tabelle1[[#This Row],[Links]]=select!$I$2,1,0)</f>
        <v>1</v>
      </c>
      <c r="H488" s="46">
        <f>IF(IF(Tabelle1[[#This Row],[Anschrauben]]=1,1,IF(Tabelle1[[#This Row],[Einpressen]]=1,2,IF(Tabelle1[[#This Row],[Werkzeuglos]]=1,3,0)))=select!$E$7,1,0)</f>
        <v>0</v>
      </c>
      <c r="I488" s="46">
        <f ca="1">IF(Tabelle1[[#This Row],[Winkel]]+Tabelle1[[#This Row],[Kröpfung]]+Tabelle1[[#This Row],[Däpfung]]+Tabelle1[[#This Row],[Bohrbild]]+Tabelle1[[#This Row],[Scharnierbefestigung]]=5,1,0)</f>
        <v>0</v>
      </c>
      <c r="J488" t="str">
        <f ca="1">Sprache!$A$53</f>
        <v>TIOMOS hinge T-Click-on</v>
      </c>
      <c r="K488" t="s">
        <v>353</v>
      </c>
      <c r="L488" t="str">
        <f ca="1">Sprache!$A$63</f>
        <v>TIOMOS Click-on hinges</v>
      </c>
      <c r="M488">
        <v>9.5</v>
      </c>
      <c r="N488" t="s">
        <v>3</v>
      </c>
      <c r="O488">
        <v>120</v>
      </c>
      <c r="P488">
        <v>0</v>
      </c>
      <c r="Q488">
        <v>1</v>
      </c>
      <c r="R488">
        <v>0</v>
      </c>
      <c r="S488">
        <v>1</v>
      </c>
      <c r="T488">
        <v>0</v>
      </c>
      <c r="U488">
        <v>0</v>
      </c>
      <c r="V488" s="14" t="s">
        <v>543</v>
      </c>
    </row>
    <row r="489" spans="1:22" ht="14.25" customHeight="1" x14ac:dyDescent="0.25">
      <c r="A489" s="48" t="str">
        <f>LEFT(Tabelle1[[#This Row],[Artikel'#]],4)</f>
        <v>F045</v>
      </c>
      <c r="B489" s="46" t="str">
        <f>MID(Tabelle1[[#This Row],[Artikel'#]],5,3)</f>
        <v>138</v>
      </c>
      <c r="C489" s="48" t="str">
        <f>RIGHT(Tabelle1[[#This Row],[Artikel'#]],3)</f>
        <v>488</v>
      </c>
      <c r="D489" s="46">
        <f>IF(Tabelle1[[#This Row],[Winkel2]]=select!$A$2,1,0)</f>
        <v>0</v>
      </c>
      <c r="E4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89" s="46">
        <f>IF(select!$E$16=IF(Tabelle1[[#This Row],[mit Dämpfung]]=1,1,IF(Tabelle1[[#This Row],[ohne Dämpfung]]=1,2,IF(Tabelle1[[#This Row],[ohne Feder]]=1,3,0))),1,0)</f>
        <v>0</v>
      </c>
      <c r="G489" s="46">
        <f>IF(Tabelle1[[#This Row],[Links]]=select!$I$2,1,0)</f>
        <v>1</v>
      </c>
      <c r="H489" s="46">
        <f>IF(IF(Tabelle1[[#This Row],[Anschrauben]]=1,1,IF(Tabelle1[[#This Row],[Einpressen]]=1,2,IF(Tabelle1[[#This Row],[Werkzeuglos]]=1,3,0)))=select!$E$7,1,0)</f>
        <v>0</v>
      </c>
      <c r="I489" s="46">
        <f ca="1">IF(Tabelle1[[#This Row],[Winkel]]+Tabelle1[[#This Row],[Kröpfung]]+Tabelle1[[#This Row],[Däpfung]]+Tabelle1[[#This Row],[Bohrbild]]+Tabelle1[[#This Row],[Scharnierbefestigung]]=5,1,0)</f>
        <v>0</v>
      </c>
      <c r="J489" t="str">
        <f ca="1">Sprache!$A$53</f>
        <v>TIOMOS hinge T-Click-on</v>
      </c>
      <c r="K489" t="s">
        <v>355</v>
      </c>
      <c r="L489" t="str">
        <f ca="1">Sprache!$A$63</f>
        <v>TIOMOS Click-on hinges</v>
      </c>
      <c r="M489">
        <v>19</v>
      </c>
      <c r="N489" t="s">
        <v>3</v>
      </c>
      <c r="O489">
        <v>120</v>
      </c>
      <c r="P489">
        <v>0</v>
      </c>
      <c r="Q489">
        <v>1</v>
      </c>
      <c r="R489">
        <v>0</v>
      </c>
      <c r="S489">
        <v>1</v>
      </c>
      <c r="T489">
        <v>0</v>
      </c>
      <c r="U489">
        <v>0</v>
      </c>
      <c r="V489" s="14" t="s">
        <v>544</v>
      </c>
    </row>
    <row r="490" spans="1:22" ht="14.25" customHeight="1" x14ac:dyDescent="0.25">
      <c r="A490" s="48" t="str">
        <f>LEFT(Tabelle1[[#This Row],[Artikel'#]],4)</f>
        <v>F045</v>
      </c>
      <c r="B490" s="46" t="str">
        <f>MID(Tabelle1[[#This Row],[Artikel'#]],5,3)</f>
        <v>138</v>
      </c>
      <c r="C490" s="48" t="str">
        <f>RIGHT(Tabelle1[[#This Row],[Artikel'#]],3)</f>
        <v>489</v>
      </c>
      <c r="D490" s="46">
        <f>IF(Tabelle1[[#This Row],[Winkel2]]=select!$A$2,1,0)</f>
        <v>0</v>
      </c>
      <c r="E4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0" s="46">
        <f>IF(select!$E$16=IF(Tabelle1[[#This Row],[mit Dämpfung]]=1,1,IF(Tabelle1[[#This Row],[ohne Dämpfung]]=1,2,IF(Tabelle1[[#This Row],[ohne Feder]]=1,3,0))),1,0)</f>
        <v>0</v>
      </c>
      <c r="G490" s="46">
        <f>IF(Tabelle1[[#This Row],[Links]]=select!$I$2,1,0)</f>
        <v>1</v>
      </c>
      <c r="H490" s="46">
        <f>IF(IF(Tabelle1[[#This Row],[Anschrauben]]=1,1,IF(Tabelle1[[#This Row],[Einpressen]]=1,2,IF(Tabelle1[[#This Row],[Werkzeuglos]]=1,3,0)))=select!$E$7,1,0)</f>
        <v>1</v>
      </c>
      <c r="I490" s="46">
        <f ca="1">IF(Tabelle1[[#This Row],[Winkel]]+Tabelle1[[#This Row],[Kröpfung]]+Tabelle1[[#This Row],[Däpfung]]+Tabelle1[[#This Row],[Bohrbild]]+Tabelle1[[#This Row],[Scharnierbefestigung]]=5,1,0)</f>
        <v>0</v>
      </c>
      <c r="J490" t="str">
        <f ca="1">Sprache!$A$53</f>
        <v>TIOMOS hinge T-Click-on</v>
      </c>
      <c r="K490" t="str">
        <f ca="1">"120°, B-BB, K00, "&amp;Sprache!A59&amp;", ni"</f>
        <v>120°, B-BB, K00, Dowel, ni</v>
      </c>
      <c r="L490" t="str">
        <f ca="1">Sprache!$A$63</f>
        <v>TIOMOS Click-on hinges</v>
      </c>
      <c r="M490">
        <v>0</v>
      </c>
      <c r="N490" t="s">
        <v>3</v>
      </c>
      <c r="O490">
        <v>120</v>
      </c>
      <c r="P490">
        <v>0</v>
      </c>
      <c r="Q490">
        <v>1</v>
      </c>
      <c r="R490">
        <v>0</v>
      </c>
      <c r="S490">
        <v>0</v>
      </c>
      <c r="T490">
        <v>1</v>
      </c>
      <c r="U490">
        <v>0</v>
      </c>
      <c r="V490" s="14" t="s">
        <v>545</v>
      </c>
    </row>
    <row r="491" spans="1:22" ht="14.25" customHeight="1" x14ac:dyDescent="0.25">
      <c r="A491" s="48" t="str">
        <f>LEFT(Tabelle1[[#This Row],[Artikel'#]],4)</f>
        <v>F045</v>
      </c>
      <c r="B491" s="46" t="str">
        <f>MID(Tabelle1[[#This Row],[Artikel'#]],5,3)</f>
        <v>138</v>
      </c>
      <c r="C491" s="48" t="str">
        <f>RIGHT(Tabelle1[[#This Row],[Artikel'#]],3)</f>
        <v>490</v>
      </c>
      <c r="D491" s="46">
        <f>IF(Tabelle1[[#This Row],[Winkel2]]=select!$A$2,1,0)</f>
        <v>0</v>
      </c>
      <c r="E4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1" s="46">
        <f>IF(select!$E$16=IF(Tabelle1[[#This Row],[mit Dämpfung]]=1,1,IF(Tabelle1[[#This Row],[ohne Dämpfung]]=1,2,IF(Tabelle1[[#This Row],[ohne Feder]]=1,3,0))),1,0)</f>
        <v>0</v>
      </c>
      <c r="G491" s="46">
        <f>IF(Tabelle1[[#This Row],[Links]]=select!$I$2,1,0)</f>
        <v>1</v>
      </c>
      <c r="H491" s="46">
        <f>IF(IF(Tabelle1[[#This Row],[Anschrauben]]=1,1,IF(Tabelle1[[#This Row],[Einpressen]]=1,2,IF(Tabelle1[[#This Row],[Werkzeuglos]]=1,3,0)))=select!$E$7,1,0)</f>
        <v>1</v>
      </c>
      <c r="I491" s="46">
        <f ca="1">IF(Tabelle1[[#This Row],[Winkel]]+Tabelle1[[#This Row],[Kröpfung]]+Tabelle1[[#This Row],[Däpfung]]+Tabelle1[[#This Row],[Bohrbild]]+Tabelle1[[#This Row],[Scharnierbefestigung]]=5,1,0)</f>
        <v>0</v>
      </c>
      <c r="J491" t="str">
        <f ca="1">Sprache!$A$53</f>
        <v>TIOMOS hinge T-Click-on</v>
      </c>
      <c r="K491" t="str">
        <f ca="1">"120°, B-BB, K03, "&amp;Sprache!A59&amp;", ni"</f>
        <v>120°, B-BB, K03, Dowel, ni</v>
      </c>
      <c r="L491" t="str">
        <f ca="1">Sprache!$A$63</f>
        <v>TIOMOS Click-on hinges</v>
      </c>
      <c r="M491">
        <v>3</v>
      </c>
      <c r="N491" t="s">
        <v>3</v>
      </c>
      <c r="O491">
        <v>120</v>
      </c>
      <c r="P491">
        <v>0</v>
      </c>
      <c r="Q491">
        <v>1</v>
      </c>
      <c r="R491">
        <v>0</v>
      </c>
      <c r="S491">
        <v>0</v>
      </c>
      <c r="T491">
        <v>1</v>
      </c>
      <c r="U491">
        <v>0</v>
      </c>
      <c r="V491" s="14" t="s">
        <v>546</v>
      </c>
    </row>
    <row r="492" spans="1:22" ht="14.25" customHeight="1" x14ac:dyDescent="0.25">
      <c r="A492" s="48" t="str">
        <f>LEFT(Tabelle1[[#This Row],[Artikel'#]],4)</f>
        <v>F045</v>
      </c>
      <c r="B492" s="46" t="str">
        <f>MID(Tabelle1[[#This Row],[Artikel'#]],5,3)</f>
        <v>138</v>
      </c>
      <c r="C492" s="48" t="str">
        <f>RIGHT(Tabelle1[[#This Row],[Artikel'#]],3)</f>
        <v>491</v>
      </c>
      <c r="D492" s="46">
        <f>IF(Tabelle1[[#This Row],[Winkel2]]=select!$A$2,1,0)</f>
        <v>0</v>
      </c>
      <c r="E4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92" s="46">
        <f>IF(select!$E$16=IF(Tabelle1[[#This Row],[mit Dämpfung]]=1,1,IF(Tabelle1[[#This Row],[ohne Dämpfung]]=1,2,IF(Tabelle1[[#This Row],[ohne Feder]]=1,3,0))),1,0)</f>
        <v>0</v>
      </c>
      <c r="G492" s="46">
        <f>IF(Tabelle1[[#This Row],[Links]]=select!$I$2,1,0)</f>
        <v>1</v>
      </c>
      <c r="H492" s="46">
        <f>IF(IF(Tabelle1[[#This Row],[Anschrauben]]=1,1,IF(Tabelle1[[#This Row],[Einpressen]]=1,2,IF(Tabelle1[[#This Row],[Werkzeuglos]]=1,3,0)))=select!$E$7,1,0)</f>
        <v>1</v>
      </c>
      <c r="I492" s="46">
        <f ca="1">IF(Tabelle1[[#This Row],[Winkel]]+Tabelle1[[#This Row],[Kröpfung]]+Tabelle1[[#This Row],[Däpfung]]+Tabelle1[[#This Row],[Bohrbild]]+Tabelle1[[#This Row],[Scharnierbefestigung]]=5,1,0)</f>
        <v>0</v>
      </c>
      <c r="J492" t="str">
        <f ca="1">Sprache!$A$53</f>
        <v>TIOMOS hinge T-Click-on</v>
      </c>
      <c r="K492" t="str">
        <f ca="1">"120°, B-BB, K95, "&amp;Sprache!A59&amp;", ni"</f>
        <v>120°, B-BB, K95, Dowel, ni</v>
      </c>
      <c r="L492" t="str">
        <f ca="1">Sprache!$A$63</f>
        <v>TIOMOS Click-on hinges</v>
      </c>
      <c r="M492">
        <v>9.5</v>
      </c>
      <c r="N492" t="s">
        <v>3</v>
      </c>
      <c r="O492">
        <v>120</v>
      </c>
      <c r="P492">
        <v>0</v>
      </c>
      <c r="Q492">
        <v>1</v>
      </c>
      <c r="R492">
        <v>0</v>
      </c>
      <c r="S492">
        <v>0</v>
      </c>
      <c r="T492">
        <v>1</v>
      </c>
      <c r="U492">
        <v>0</v>
      </c>
      <c r="V492" s="14" t="s">
        <v>547</v>
      </c>
    </row>
    <row r="493" spans="1:22" ht="14.25" customHeight="1" x14ac:dyDescent="0.25">
      <c r="A493" s="48" t="str">
        <f>LEFT(Tabelle1[[#This Row],[Artikel'#]],4)</f>
        <v>F045</v>
      </c>
      <c r="B493" s="46" t="str">
        <f>MID(Tabelle1[[#This Row],[Artikel'#]],5,3)</f>
        <v>138</v>
      </c>
      <c r="C493" s="48" t="str">
        <f>RIGHT(Tabelle1[[#This Row],[Artikel'#]],3)</f>
        <v>492</v>
      </c>
      <c r="D493" s="46">
        <f>IF(Tabelle1[[#This Row],[Winkel2]]=select!$A$2,1,0)</f>
        <v>0</v>
      </c>
      <c r="E4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3" s="46">
        <f>IF(select!$E$16=IF(Tabelle1[[#This Row],[mit Dämpfung]]=1,1,IF(Tabelle1[[#This Row],[ohne Dämpfung]]=1,2,IF(Tabelle1[[#This Row],[ohne Feder]]=1,3,0))),1,0)</f>
        <v>0</v>
      </c>
      <c r="G493" s="46">
        <f>IF(Tabelle1[[#This Row],[Links]]=select!$I$2,1,0)</f>
        <v>1</v>
      </c>
      <c r="H493" s="46">
        <f>IF(IF(Tabelle1[[#This Row],[Anschrauben]]=1,1,IF(Tabelle1[[#This Row],[Einpressen]]=1,2,IF(Tabelle1[[#This Row],[Werkzeuglos]]=1,3,0)))=select!$E$7,1,0)</f>
        <v>1</v>
      </c>
      <c r="I493" s="46">
        <f ca="1">IF(Tabelle1[[#This Row],[Winkel]]+Tabelle1[[#This Row],[Kröpfung]]+Tabelle1[[#This Row],[Däpfung]]+Tabelle1[[#This Row],[Bohrbild]]+Tabelle1[[#This Row],[Scharnierbefestigung]]=5,1,0)</f>
        <v>0</v>
      </c>
      <c r="J493" t="str">
        <f ca="1">Sprache!$A$53</f>
        <v>TIOMOS hinge T-Click-on</v>
      </c>
      <c r="K493" t="str">
        <f ca="1">"120°, B-BB, K19, "&amp;Sprache!A59&amp;", ni"</f>
        <v>120°, B-BB, K19, Dowel, ni</v>
      </c>
      <c r="L493" t="str">
        <f ca="1">Sprache!$A$63</f>
        <v>TIOMOS Click-on hinges</v>
      </c>
      <c r="M493">
        <v>19</v>
      </c>
      <c r="N493" t="s">
        <v>3</v>
      </c>
      <c r="O493">
        <v>120</v>
      </c>
      <c r="P493">
        <v>0</v>
      </c>
      <c r="Q493">
        <v>1</v>
      </c>
      <c r="R493">
        <v>0</v>
      </c>
      <c r="S493">
        <v>0</v>
      </c>
      <c r="T493">
        <v>1</v>
      </c>
      <c r="U493">
        <v>0</v>
      </c>
      <c r="V493" s="14" t="s">
        <v>548</v>
      </c>
    </row>
    <row r="494" spans="1:22" ht="14.25" customHeight="1" x14ac:dyDescent="0.25">
      <c r="A494" s="48" t="str">
        <f>LEFT(Tabelle1[[#This Row],[Artikel'#]],4)</f>
        <v>F045</v>
      </c>
      <c r="B494" s="46" t="str">
        <f>MID(Tabelle1[[#This Row],[Artikel'#]],5,3)</f>
        <v>138</v>
      </c>
      <c r="C494" s="48" t="str">
        <f>RIGHT(Tabelle1[[#This Row],[Artikel'#]],3)</f>
        <v>499</v>
      </c>
      <c r="D494" s="46">
        <f>IF(Tabelle1[[#This Row],[Winkel2]]=select!$A$2,1,0)</f>
        <v>0</v>
      </c>
      <c r="E4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4" s="46">
        <f>IF(select!$E$16=IF(Tabelle1[[#This Row],[mit Dämpfung]]=1,1,IF(Tabelle1[[#This Row],[ohne Dämpfung]]=1,2,IF(Tabelle1[[#This Row],[ohne Feder]]=1,3,0))),1,0)</f>
        <v>0</v>
      </c>
      <c r="G494" s="46">
        <f>IF(Tabelle1[[#This Row],[Links]]=select!$I$2,1,0)</f>
        <v>1</v>
      </c>
      <c r="H494" s="46">
        <f>IF(IF(Tabelle1[[#This Row],[Anschrauben]]=1,1,IF(Tabelle1[[#This Row],[Einpressen]]=1,2,IF(Tabelle1[[#This Row],[Werkzeuglos]]=1,3,0)))=select!$E$7,1,0)</f>
        <v>0</v>
      </c>
      <c r="I494" s="46">
        <f ca="1">IF(Tabelle1[[#This Row],[Winkel]]+Tabelle1[[#This Row],[Kröpfung]]+Tabelle1[[#This Row],[Däpfung]]+Tabelle1[[#This Row],[Bohrbild]]+Tabelle1[[#This Row],[Scharnierbefestigung]]=5,1,0)</f>
        <v>0</v>
      </c>
      <c r="J494" t="str">
        <f ca="1">Sprache!$A$53</f>
        <v>TIOMOS hinge T-Click-on</v>
      </c>
      <c r="K494" t="s">
        <v>361</v>
      </c>
      <c r="L494" t="str">
        <f ca="1">Sprache!$A$63</f>
        <v>TIOMOS Click-on hinges</v>
      </c>
      <c r="M494">
        <v>0</v>
      </c>
      <c r="N494" s="13" t="s">
        <v>3</v>
      </c>
      <c r="O494">
        <v>160</v>
      </c>
      <c r="P494">
        <v>0</v>
      </c>
      <c r="Q494">
        <v>1</v>
      </c>
      <c r="R494">
        <v>0</v>
      </c>
      <c r="S494">
        <v>1</v>
      </c>
      <c r="T494">
        <v>0</v>
      </c>
      <c r="U494">
        <v>0</v>
      </c>
      <c r="V494" s="14" t="s">
        <v>549</v>
      </c>
    </row>
    <row r="495" spans="1:22" ht="14.25" customHeight="1" x14ac:dyDescent="0.25">
      <c r="A495" s="48" t="str">
        <f>LEFT(Tabelle1[[#This Row],[Artikel'#]],4)</f>
        <v>F045</v>
      </c>
      <c r="B495" s="46" t="str">
        <f>MID(Tabelle1[[#This Row],[Artikel'#]],5,3)</f>
        <v>138</v>
      </c>
      <c r="C495" s="48" t="str">
        <f>RIGHT(Tabelle1[[#This Row],[Artikel'#]],3)</f>
        <v>500</v>
      </c>
      <c r="D495" s="46">
        <f>IF(Tabelle1[[#This Row],[Winkel2]]=select!$A$2,1,0)</f>
        <v>0</v>
      </c>
      <c r="E4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5" s="46">
        <f>IF(select!$E$16=IF(Tabelle1[[#This Row],[mit Dämpfung]]=1,1,IF(Tabelle1[[#This Row],[ohne Dämpfung]]=1,2,IF(Tabelle1[[#This Row],[ohne Feder]]=1,3,0))),1,0)</f>
        <v>0</v>
      </c>
      <c r="G495" s="46">
        <f>IF(Tabelle1[[#This Row],[Links]]=select!$I$2,1,0)</f>
        <v>1</v>
      </c>
      <c r="H495" s="46">
        <f>IF(IF(Tabelle1[[#This Row],[Anschrauben]]=1,1,IF(Tabelle1[[#This Row],[Einpressen]]=1,2,IF(Tabelle1[[#This Row],[Werkzeuglos]]=1,3,0)))=select!$E$7,1,0)</f>
        <v>0</v>
      </c>
      <c r="I495" s="46">
        <f ca="1">IF(Tabelle1[[#This Row],[Winkel]]+Tabelle1[[#This Row],[Kröpfung]]+Tabelle1[[#This Row],[Däpfung]]+Tabelle1[[#This Row],[Bohrbild]]+Tabelle1[[#This Row],[Scharnierbefestigung]]=5,1,0)</f>
        <v>0</v>
      </c>
      <c r="J495" t="str">
        <f ca="1">Sprache!$A$53</f>
        <v>TIOMOS hinge T-Click-on</v>
      </c>
      <c r="K495" t="s">
        <v>363</v>
      </c>
      <c r="L495" t="str">
        <f ca="1">Sprache!$A$63</f>
        <v>TIOMOS Click-on hinges</v>
      </c>
      <c r="M495">
        <v>3</v>
      </c>
      <c r="N495" t="s">
        <v>3</v>
      </c>
      <c r="O495">
        <v>160</v>
      </c>
      <c r="P495">
        <v>0</v>
      </c>
      <c r="Q495">
        <v>1</v>
      </c>
      <c r="R495">
        <v>0</v>
      </c>
      <c r="S495">
        <v>1</v>
      </c>
      <c r="T495">
        <v>0</v>
      </c>
      <c r="U495">
        <v>0</v>
      </c>
      <c r="V495" s="14" t="s">
        <v>550</v>
      </c>
    </row>
    <row r="496" spans="1:22" ht="14.25" customHeight="1" x14ac:dyDescent="0.25">
      <c r="A496" s="48" t="str">
        <f>LEFT(Tabelle1[[#This Row],[Artikel'#]],4)</f>
        <v>F045</v>
      </c>
      <c r="B496" s="46" t="str">
        <f>MID(Tabelle1[[#This Row],[Artikel'#]],5,3)</f>
        <v>138</v>
      </c>
      <c r="C496" s="48" t="str">
        <f>RIGHT(Tabelle1[[#This Row],[Artikel'#]],3)</f>
        <v>501</v>
      </c>
      <c r="D496" s="46">
        <f>IF(Tabelle1[[#This Row],[Winkel2]]=select!$A$2,1,0)</f>
        <v>0</v>
      </c>
      <c r="E4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96" s="46">
        <f>IF(select!$E$16=IF(Tabelle1[[#This Row],[mit Dämpfung]]=1,1,IF(Tabelle1[[#This Row],[ohne Dämpfung]]=1,2,IF(Tabelle1[[#This Row],[ohne Feder]]=1,3,0))),1,0)</f>
        <v>0</v>
      </c>
      <c r="G496" s="46">
        <f>IF(Tabelle1[[#This Row],[Links]]=select!$I$2,1,0)</f>
        <v>1</v>
      </c>
      <c r="H496" s="46">
        <f>IF(IF(Tabelle1[[#This Row],[Anschrauben]]=1,1,IF(Tabelle1[[#This Row],[Einpressen]]=1,2,IF(Tabelle1[[#This Row],[Werkzeuglos]]=1,3,0)))=select!$E$7,1,0)</f>
        <v>0</v>
      </c>
      <c r="I496" s="46">
        <f ca="1">IF(Tabelle1[[#This Row],[Winkel]]+Tabelle1[[#This Row],[Kröpfung]]+Tabelle1[[#This Row],[Däpfung]]+Tabelle1[[#This Row],[Bohrbild]]+Tabelle1[[#This Row],[Scharnierbefestigung]]=5,1,0)</f>
        <v>0</v>
      </c>
      <c r="J496" t="str">
        <f ca="1">Sprache!$A$53</f>
        <v>TIOMOS hinge T-Click-on</v>
      </c>
      <c r="K496" t="s">
        <v>365</v>
      </c>
      <c r="L496" t="str">
        <f ca="1">Sprache!$A$63</f>
        <v>TIOMOS Click-on hinges</v>
      </c>
      <c r="M496">
        <v>9.5</v>
      </c>
      <c r="N496" t="s">
        <v>3</v>
      </c>
      <c r="O496">
        <v>160</v>
      </c>
      <c r="P496">
        <v>0</v>
      </c>
      <c r="Q496">
        <v>1</v>
      </c>
      <c r="R496">
        <v>0</v>
      </c>
      <c r="S496">
        <v>1</v>
      </c>
      <c r="T496">
        <v>0</v>
      </c>
      <c r="U496">
        <v>0</v>
      </c>
      <c r="V496" s="14" t="s">
        <v>551</v>
      </c>
    </row>
    <row r="497" spans="1:22" ht="14.25" customHeight="1" x14ac:dyDescent="0.25">
      <c r="A497" s="48" t="str">
        <f>LEFT(Tabelle1[[#This Row],[Artikel'#]],4)</f>
        <v>F045</v>
      </c>
      <c r="B497" s="46" t="str">
        <f>MID(Tabelle1[[#This Row],[Artikel'#]],5,3)</f>
        <v>138</v>
      </c>
      <c r="C497" s="48" t="str">
        <f>RIGHT(Tabelle1[[#This Row],[Artikel'#]],3)</f>
        <v>502</v>
      </c>
      <c r="D497" s="46">
        <f>IF(Tabelle1[[#This Row],[Winkel2]]=select!$A$2,1,0)</f>
        <v>0</v>
      </c>
      <c r="E4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7" s="46">
        <f>IF(select!$E$16=IF(Tabelle1[[#This Row],[mit Dämpfung]]=1,1,IF(Tabelle1[[#This Row],[ohne Dämpfung]]=1,2,IF(Tabelle1[[#This Row],[ohne Feder]]=1,3,0))),1,0)</f>
        <v>0</v>
      </c>
      <c r="G497" s="46">
        <f>IF(Tabelle1[[#This Row],[Links]]=select!$I$2,1,0)</f>
        <v>1</v>
      </c>
      <c r="H497" s="46">
        <f>IF(IF(Tabelle1[[#This Row],[Anschrauben]]=1,1,IF(Tabelle1[[#This Row],[Einpressen]]=1,2,IF(Tabelle1[[#This Row],[Werkzeuglos]]=1,3,0)))=select!$E$7,1,0)</f>
        <v>1</v>
      </c>
      <c r="I497" s="46">
        <f ca="1">IF(Tabelle1[[#This Row],[Winkel]]+Tabelle1[[#This Row],[Kröpfung]]+Tabelle1[[#This Row],[Däpfung]]+Tabelle1[[#This Row],[Bohrbild]]+Tabelle1[[#This Row],[Scharnierbefestigung]]=5,1,0)</f>
        <v>0</v>
      </c>
      <c r="J497" t="str">
        <f ca="1">Sprache!$A$53</f>
        <v>TIOMOS hinge T-Click-on</v>
      </c>
      <c r="K497" t="str">
        <f ca="1">"160°, B-BB, K00, "&amp;Sprache!A59&amp;", ni"</f>
        <v>160°, B-BB, K00, Dowel, ni</v>
      </c>
      <c r="L497" t="str">
        <f ca="1">Sprache!$A$63</f>
        <v>TIOMOS Click-on hinges</v>
      </c>
      <c r="M497">
        <v>0</v>
      </c>
      <c r="N497" s="13" t="s">
        <v>3</v>
      </c>
      <c r="O497">
        <v>160</v>
      </c>
      <c r="P497">
        <v>0</v>
      </c>
      <c r="Q497">
        <v>1</v>
      </c>
      <c r="R497">
        <v>0</v>
      </c>
      <c r="S497">
        <v>0</v>
      </c>
      <c r="T497">
        <v>1</v>
      </c>
      <c r="U497">
        <v>0</v>
      </c>
      <c r="V497" s="14" t="s">
        <v>552</v>
      </c>
    </row>
    <row r="498" spans="1:22" ht="14.25" customHeight="1" x14ac:dyDescent="0.25">
      <c r="A498" s="48" t="str">
        <f>LEFT(Tabelle1[[#This Row],[Artikel'#]],4)</f>
        <v>F045</v>
      </c>
      <c r="B498" s="46" t="str">
        <f>MID(Tabelle1[[#This Row],[Artikel'#]],5,3)</f>
        <v>138</v>
      </c>
      <c r="C498" s="48" t="str">
        <f>RIGHT(Tabelle1[[#This Row],[Artikel'#]],3)</f>
        <v>503</v>
      </c>
      <c r="D498" s="46">
        <f>IF(Tabelle1[[#This Row],[Winkel2]]=select!$A$2,1,0)</f>
        <v>0</v>
      </c>
      <c r="E4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498" s="46">
        <f>IF(select!$E$16=IF(Tabelle1[[#This Row],[mit Dämpfung]]=1,1,IF(Tabelle1[[#This Row],[ohne Dämpfung]]=1,2,IF(Tabelle1[[#This Row],[ohne Feder]]=1,3,0))),1,0)</f>
        <v>0</v>
      </c>
      <c r="G498" s="46">
        <f>IF(Tabelle1[[#This Row],[Links]]=select!$I$2,1,0)</f>
        <v>1</v>
      </c>
      <c r="H498" s="46">
        <f>IF(IF(Tabelle1[[#This Row],[Anschrauben]]=1,1,IF(Tabelle1[[#This Row],[Einpressen]]=1,2,IF(Tabelle1[[#This Row],[Werkzeuglos]]=1,3,0)))=select!$E$7,1,0)</f>
        <v>1</v>
      </c>
      <c r="I498" s="46">
        <f ca="1">IF(Tabelle1[[#This Row],[Winkel]]+Tabelle1[[#This Row],[Kröpfung]]+Tabelle1[[#This Row],[Däpfung]]+Tabelle1[[#This Row],[Bohrbild]]+Tabelle1[[#This Row],[Scharnierbefestigung]]=5,1,0)</f>
        <v>0</v>
      </c>
      <c r="J498" t="str">
        <f ca="1">Sprache!$A$53</f>
        <v>TIOMOS hinge T-Click-on</v>
      </c>
      <c r="K498" t="str">
        <f ca="1">"160°, B-BB, K03, "&amp;Sprache!A59&amp;", ni"</f>
        <v>160°, B-BB, K03, Dowel, ni</v>
      </c>
      <c r="L498" t="str">
        <f ca="1">Sprache!$A$63</f>
        <v>TIOMOS Click-on hinges</v>
      </c>
      <c r="M498">
        <v>3</v>
      </c>
      <c r="N498" t="s">
        <v>3</v>
      </c>
      <c r="O498">
        <v>160</v>
      </c>
      <c r="P498">
        <v>0</v>
      </c>
      <c r="Q498">
        <v>1</v>
      </c>
      <c r="R498">
        <v>0</v>
      </c>
      <c r="S498">
        <v>0</v>
      </c>
      <c r="T498">
        <v>1</v>
      </c>
      <c r="U498">
        <v>0</v>
      </c>
      <c r="V498" s="14" t="s">
        <v>553</v>
      </c>
    </row>
    <row r="499" spans="1:22" ht="14.25" customHeight="1" x14ac:dyDescent="0.25">
      <c r="A499" s="48" t="str">
        <f>LEFT(Tabelle1[[#This Row],[Artikel'#]],4)</f>
        <v>F045</v>
      </c>
      <c r="B499" s="46" t="str">
        <f>MID(Tabelle1[[#This Row],[Artikel'#]],5,3)</f>
        <v>138</v>
      </c>
      <c r="C499" s="48" t="str">
        <f>RIGHT(Tabelle1[[#This Row],[Artikel'#]],3)</f>
        <v>504</v>
      </c>
      <c r="D499" s="46">
        <f>IF(Tabelle1[[#This Row],[Winkel2]]=select!$A$2,1,0)</f>
        <v>0</v>
      </c>
      <c r="E4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499" s="46">
        <f>IF(select!$E$16=IF(Tabelle1[[#This Row],[mit Dämpfung]]=1,1,IF(Tabelle1[[#This Row],[ohne Dämpfung]]=1,2,IF(Tabelle1[[#This Row],[ohne Feder]]=1,3,0))),1,0)</f>
        <v>0</v>
      </c>
      <c r="G499" s="46">
        <f>IF(Tabelle1[[#This Row],[Links]]=select!$I$2,1,0)</f>
        <v>1</v>
      </c>
      <c r="H499" s="46">
        <f>IF(IF(Tabelle1[[#This Row],[Anschrauben]]=1,1,IF(Tabelle1[[#This Row],[Einpressen]]=1,2,IF(Tabelle1[[#This Row],[Werkzeuglos]]=1,3,0)))=select!$E$7,1,0)</f>
        <v>1</v>
      </c>
      <c r="I499" s="46">
        <f ca="1">IF(Tabelle1[[#This Row],[Winkel]]+Tabelle1[[#This Row],[Kröpfung]]+Tabelle1[[#This Row],[Däpfung]]+Tabelle1[[#This Row],[Bohrbild]]+Tabelle1[[#This Row],[Scharnierbefestigung]]=5,1,0)</f>
        <v>0</v>
      </c>
      <c r="J499" t="str">
        <f ca="1">Sprache!$A$53</f>
        <v>TIOMOS hinge T-Click-on</v>
      </c>
      <c r="K499" t="str">
        <f ca="1">"160°, B-BB, K95, "&amp;Sprache!A59&amp;", ni"</f>
        <v>160°, B-BB, K95, Dowel, ni</v>
      </c>
      <c r="L499" t="str">
        <f ca="1">Sprache!$A$63</f>
        <v>TIOMOS Click-on hinges</v>
      </c>
      <c r="M499">
        <v>9.5</v>
      </c>
      <c r="N499" t="s">
        <v>3</v>
      </c>
      <c r="O499">
        <v>160</v>
      </c>
      <c r="P499">
        <v>0</v>
      </c>
      <c r="Q499">
        <v>1</v>
      </c>
      <c r="R499">
        <v>0</v>
      </c>
      <c r="S499">
        <v>0</v>
      </c>
      <c r="T499">
        <v>1</v>
      </c>
      <c r="U499">
        <v>0</v>
      </c>
      <c r="V499" s="14" t="s">
        <v>554</v>
      </c>
    </row>
    <row r="500" spans="1:22" ht="14.25" customHeight="1" x14ac:dyDescent="0.25">
      <c r="A500" s="48" t="str">
        <f>LEFT(Tabelle1[[#This Row],[Artikel'#]],4)</f>
        <v>F045</v>
      </c>
      <c r="B500" s="46" t="str">
        <f>MID(Tabelle1[[#This Row],[Artikel'#]],5,3)</f>
        <v>138</v>
      </c>
      <c r="C500" s="48" t="str">
        <f>RIGHT(Tabelle1[[#This Row],[Artikel'#]],3)</f>
        <v>505</v>
      </c>
      <c r="D500" s="46">
        <f>IF(Tabelle1[[#This Row],[Winkel2]]=select!$A$2,1,0)</f>
        <v>0</v>
      </c>
      <c r="E5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0" s="46">
        <f>IF(select!$E$16=IF(Tabelle1[[#This Row],[mit Dämpfung]]=1,1,IF(Tabelle1[[#This Row],[ohne Dämpfung]]=1,2,IF(Tabelle1[[#This Row],[ohne Feder]]=1,3,0))),1,0)</f>
        <v>0</v>
      </c>
      <c r="G500" s="46">
        <f>IF(Tabelle1[[#This Row],[Links]]=select!$I$2,1,0)</f>
        <v>1</v>
      </c>
      <c r="H500" s="46">
        <f>IF(IF(Tabelle1[[#This Row],[Anschrauben]]=1,1,IF(Tabelle1[[#This Row],[Einpressen]]=1,2,IF(Tabelle1[[#This Row],[Werkzeuglos]]=1,3,0)))=select!$E$7,1,0)</f>
        <v>0</v>
      </c>
      <c r="I500" s="46">
        <f ca="1">IF(Tabelle1[[#This Row],[Winkel]]+Tabelle1[[#This Row],[Kröpfung]]+Tabelle1[[#This Row],[Däpfung]]+Tabelle1[[#This Row],[Bohrbild]]+Tabelle1[[#This Row],[Scharnierbefestigung]]=5,1,0)</f>
        <v>0</v>
      </c>
      <c r="J500" t="str">
        <f ca="1">Sprache!$A$53</f>
        <v>TIOMOS hinge T-Click-on</v>
      </c>
      <c r="K500" t="s">
        <v>370</v>
      </c>
      <c r="L500" t="str">
        <f ca="1">Sprache!$A$63</f>
        <v>TIOMOS Click-on hinges</v>
      </c>
      <c r="M500">
        <v>0</v>
      </c>
      <c r="N500" t="s">
        <v>3</v>
      </c>
      <c r="O500">
        <v>95</v>
      </c>
      <c r="P500">
        <v>0</v>
      </c>
      <c r="Q500">
        <v>1</v>
      </c>
      <c r="R500">
        <v>0</v>
      </c>
      <c r="S500">
        <v>1</v>
      </c>
      <c r="T500">
        <v>0</v>
      </c>
      <c r="U500">
        <v>0</v>
      </c>
      <c r="V500" s="14" t="s">
        <v>555</v>
      </c>
    </row>
    <row r="501" spans="1:22" ht="14.25" customHeight="1" x14ac:dyDescent="0.25">
      <c r="A501" s="48" t="str">
        <f>LEFT(Tabelle1[[#This Row],[Artikel'#]],4)</f>
        <v>F045</v>
      </c>
      <c r="B501" s="46" t="str">
        <f>MID(Tabelle1[[#This Row],[Artikel'#]],5,3)</f>
        <v>138</v>
      </c>
      <c r="C501" s="48" t="str">
        <f>RIGHT(Tabelle1[[#This Row],[Artikel'#]],3)</f>
        <v>506</v>
      </c>
      <c r="D501" s="46">
        <f>IF(Tabelle1[[#This Row],[Winkel2]]=select!$A$2,1,0)</f>
        <v>0</v>
      </c>
      <c r="E5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1" s="46">
        <f>IF(select!$E$16=IF(Tabelle1[[#This Row],[mit Dämpfung]]=1,1,IF(Tabelle1[[#This Row],[ohne Dämpfung]]=1,2,IF(Tabelle1[[#This Row],[ohne Feder]]=1,3,0))),1,0)</f>
        <v>0</v>
      </c>
      <c r="G501" s="46">
        <f>IF(Tabelle1[[#This Row],[Links]]=select!$I$2,1,0)</f>
        <v>1</v>
      </c>
      <c r="H501" s="46">
        <f>IF(IF(Tabelle1[[#This Row],[Anschrauben]]=1,1,IF(Tabelle1[[#This Row],[Einpressen]]=1,2,IF(Tabelle1[[#This Row],[Werkzeuglos]]=1,3,0)))=select!$E$7,1,0)</f>
        <v>0</v>
      </c>
      <c r="I501" s="46">
        <f ca="1">IF(Tabelle1[[#This Row],[Winkel]]+Tabelle1[[#This Row],[Kröpfung]]+Tabelle1[[#This Row],[Däpfung]]+Tabelle1[[#This Row],[Bohrbild]]+Tabelle1[[#This Row],[Scharnierbefestigung]]=5,1,0)</f>
        <v>0</v>
      </c>
      <c r="J501" t="str">
        <f ca="1">Sprache!$A$53</f>
        <v>TIOMOS hinge T-Click-on</v>
      </c>
      <c r="K501" t="s">
        <v>372</v>
      </c>
      <c r="L501" t="str">
        <f ca="1">Sprache!$A$63</f>
        <v>TIOMOS Click-on hinges</v>
      </c>
      <c r="M501">
        <v>3</v>
      </c>
      <c r="N501" t="s">
        <v>3</v>
      </c>
      <c r="O501">
        <v>95</v>
      </c>
      <c r="P501">
        <v>0</v>
      </c>
      <c r="Q501">
        <v>1</v>
      </c>
      <c r="R501">
        <v>0</v>
      </c>
      <c r="S501">
        <v>1</v>
      </c>
      <c r="T501">
        <v>0</v>
      </c>
      <c r="U501">
        <v>0</v>
      </c>
      <c r="V501" s="14" t="s">
        <v>556</v>
      </c>
    </row>
    <row r="502" spans="1:22" ht="14.25" customHeight="1" x14ac:dyDescent="0.25">
      <c r="A502" s="48" t="str">
        <f>LEFT(Tabelle1[[#This Row],[Artikel'#]],4)</f>
        <v>F045</v>
      </c>
      <c r="B502" s="46" t="str">
        <f>MID(Tabelle1[[#This Row],[Artikel'#]],5,3)</f>
        <v>138</v>
      </c>
      <c r="C502" s="48" t="str">
        <f>RIGHT(Tabelle1[[#This Row],[Artikel'#]],3)</f>
        <v>507</v>
      </c>
      <c r="D502" s="46">
        <f>IF(Tabelle1[[#This Row],[Winkel2]]=select!$A$2,1,0)</f>
        <v>0</v>
      </c>
      <c r="E5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02" s="46">
        <f>IF(select!$E$16=IF(Tabelle1[[#This Row],[mit Dämpfung]]=1,1,IF(Tabelle1[[#This Row],[ohne Dämpfung]]=1,2,IF(Tabelle1[[#This Row],[ohne Feder]]=1,3,0))),1,0)</f>
        <v>0</v>
      </c>
      <c r="G502" s="46">
        <f>IF(Tabelle1[[#This Row],[Links]]=select!$I$2,1,0)</f>
        <v>1</v>
      </c>
      <c r="H502" s="46">
        <f>IF(IF(Tabelle1[[#This Row],[Anschrauben]]=1,1,IF(Tabelle1[[#This Row],[Einpressen]]=1,2,IF(Tabelle1[[#This Row],[Werkzeuglos]]=1,3,0)))=select!$E$7,1,0)</f>
        <v>0</v>
      </c>
      <c r="I502" s="46">
        <f ca="1">IF(Tabelle1[[#This Row],[Winkel]]+Tabelle1[[#This Row],[Kröpfung]]+Tabelle1[[#This Row],[Däpfung]]+Tabelle1[[#This Row],[Bohrbild]]+Tabelle1[[#This Row],[Scharnierbefestigung]]=5,1,0)</f>
        <v>0</v>
      </c>
      <c r="J502" t="str">
        <f ca="1">Sprache!$A$53</f>
        <v>TIOMOS hinge T-Click-on</v>
      </c>
      <c r="K502" t="s">
        <v>374</v>
      </c>
      <c r="L502" t="str">
        <f ca="1">Sprache!$A$63</f>
        <v>TIOMOS Click-on hinges</v>
      </c>
      <c r="M502">
        <v>9.5</v>
      </c>
      <c r="N502" t="s">
        <v>3</v>
      </c>
      <c r="O502">
        <v>95</v>
      </c>
      <c r="P502">
        <v>0</v>
      </c>
      <c r="Q502">
        <v>1</v>
      </c>
      <c r="R502">
        <v>0</v>
      </c>
      <c r="S502">
        <v>1</v>
      </c>
      <c r="T502">
        <v>0</v>
      </c>
      <c r="U502">
        <v>0</v>
      </c>
      <c r="V502" s="14" t="s">
        <v>557</v>
      </c>
    </row>
    <row r="503" spans="1:22" ht="14.25" customHeight="1" x14ac:dyDescent="0.25">
      <c r="A503" s="48" t="str">
        <f>LEFT(Tabelle1[[#This Row],[Artikel'#]],4)</f>
        <v>F045</v>
      </c>
      <c r="B503" s="46" t="str">
        <f>MID(Tabelle1[[#This Row],[Artikel'#]],5,3)</f>
        <v>138</v>
      </c>
      <c r="C503" s="48" t="str">
        <f>RIGHT(Tabelle1[[#This Row],[Artikel'#]],3)</f>
        <v>508</v>
      </c>
      <c r="D503" s="46">
        <f>IF(Tabelle1[[#This Row],[Winkel2]]=select!$A$2,1,0)</f>
        <v>0</v>
      </c>
      <c r="E5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3" s="46">
        <f>IF(select!$E$16=IF(Tabelle1[[#This Row],[mit Dämpfung]]=1,1,IF(Tabelle1[[#This Row],[ohne Dämpfung]]=1,2,IF(Tabelle1[[#This Row],[ohne Feder]]=1,3,0))),1,0)</f>
        <v>0</v>
      </c>
      <c r="G503" s="46">
        <f>IF(Tabelle1[[#This Row],[Links]]=select!$I$2,1,0)</f>
        <v>1</v>
      </c>
      <c r="H503" s="46">
        <f>IF(IF(Tabelle1[[#This Row],[Anschrauben]]=1,1,IF(Tabelle1[[#This Row],[Einpressen]]=1,2,IF(Tabelle1[[#This Row],[Werkzeuglos]]=1,3,0)))=select!$E$7,1,0)</f>
        <v>0</v>
      </c>
      <c r="I503" s="46">
        <f ca="1">IF(Tabelle1[[#This Row],[Winkel]]+Tabelle1[[#This Row],[Kröpfung]]+Tabelle1[[#This Row],[Däpfung]]+Tabelle1[[#This Row],[Bohrbild]]+Tabelle1[[#This Row],[Scharnierbefestigung]]=5,1,0)</f>
        <v>0</v>
      </c>
      <c r="J503" t="str">
        <f ca="1">Sprache!$A$53</f>
        <v>TIOMOS hinge T-Click-on</v>
      </c>
      <c r="K503" t="s">
        <v>376</v>
      </c>
      <c r="L503" t="str">
        <f ca="1">Sprache!$A$63</f>
        <v>TIOMOS Click-on hinges</v>
      </c>
      <c r="M503">
        <v>19</v>
      </c>
      <c r="N503" t="s">
        <v>3</v>
      </c>
      <c r="O503">
        <v>95</v>
      </c>
      <c r="P503">
        <v>0</v>
      </c>
      <c r="Q503">
        <v>1</v>
      </c>
      <c r="R503">
        <v>0</v>
      </c>
      <c r="S503">
        <v>1</v>
      </c>
      <c r="T503">
        <v>0</v>
      </c>
      <c r="U503">
        <v>0</v>
      </c>
      <c r="V503" s="14" t="s">
        <v>558</v>
      </c>
    </row>
    <row r="504" spans="1:22" ht="14.25" customHeight="1" x14ac:dyDescent="0.25">
      <c r="A504" s="48" t="str">
        <f>LEFT(Tabelle1[[#This Row],[Artikel'#]],4)</f>
        <v>F045</v>
      </c>
      <c r="B504" s="46" t="str">
        <f>MID(Tabelle1[[#This Row],[Artikel'#]],5,3)</f>
        <v>138</v>
      </c>
      <c r="C504" s="48" t="str">
        <f>RIGHT(Tabelle1[[#This Row],[Artikel'#]],3)</f>
        <v>509</v>
      </c>
      <c r="D504" s="46">
        <f>IF(Tabelle1[[#This Row],[Winkel2]]=select!$A$2,1,0)</f>
        <v>0</v>
      </c>
      <c r="E5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4" s="46">
        <f>IF(select!$E$16=IF(Tabelle1[[#This Row],[mit Dämpfung]]=1,1,IF(Tabelle1[[#This Row],[ohne Dämpfung]]=1,2,IF(Tabelle1[[#This Row],[ohne Feder]]=1,3,0))),1,0)</f>
        <v>0</v>
      </c>
      <c r="G504" s="46">
        <f>IF(Tabelle1[[#This Row],[Links]]=select!$I$2,1,0)</f>
        <v>1</v>
      </c>
      <c r="H504" s="46">
        <f>IF(IF(Tabelle1[[#This Row],[Anschrauben]]=1,1,IF(Tabelle1[[#This Row],[Einpressen]]=1,2,IF(Tabelle1[[#This Row],[Werkzeuglos]]=1,3,0)))=select!$E$7,1,0)</f>
        <v>1</v>
      </c>
      <c r="I504" s="46">
        <f ca="1">IF(Tabelle1[[#This Row],[Winkel]]+Tabelle1[[#This Row],[Kröpfung]]+Tabelle1[[#This Row],[Däpfung]]+Tabelle1[[#This Row],[Bohrbild]]+Tabelle1[[#This Row],[Scharnierbefestigung]]=5,1,0)</f>
        <v>0</v>
      </c>
      <c r="J504" t="str">
        <f ca="1">Sprache!$A$53</f>
        <v>TIOMOS hinge T-Click-on</v>
      </c>
      <c r="K504" t="str">
        <f ca="1">"95°, B-BB, K00, "&amp;Sprache!A59&amp;", ni"</f>
        <v>95°, B-BB, K00, Dowel, ni</v>
      </c>
      <c r="L504" t="str">
        <f ca="1">Sprache!$A$63</f>
        <v>TIOMOS Click-on hinges</v>
      </c>
      <c r="M504">
        <v>0</v>
      </c>
      <c r="N504" t="s">
        <v>3</v>
      </c>
      <c r="O504">
        <v>95</v>
      </c>
      <c r="P504">
        <v>0</v>
      </c>
      <c r="Q504">
        <v>1</v>
      </c>
      <c r="R504">
        <v>0</v>
      </c>
      <c r="S504">
        <v>0</v>
      </c>
      <c r="T504">
        <v>1</v>
      </c>
      <c r="U504">
        <v>0</v>
      </c>
      <c r="V504" s="14" t="s">
        <v>559</v>
      </c>
    </row>
    <row r="505" spans="1:22" ht="14.25" customHeight="1" x14ac:dyDescent="0.25">
      <c r="A505" s="48" t="str">
        <f>LEFT(Tabelle1[[#This Row],[Artikel'#]],4)</f>
        <v>F045</v>
      </c>
      <c r="B505" s="46" t="str">
        <f>MID(Tabelle1[[#This Row],[Artikel'#]],5,3)</f>
        <v>138</v>
      </c>
      <c r="C505" s="48" t="str">
        <f>RIGHT(Tabelle1[[#This Row],[Artikel'#]],3)</f>
        <v>510</v>
      </c>
      <c r="D505" s="46">
        <f>IF(Tabelle1[[#This Row],[Winkel2]]=select!$A$2,1,0)</f>
        <v>0</v>
      </c>
      <c r="E5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5" s="46">
        <f>IF(select!$E$16=IF(Tabelle1[[#This Row],[mit Dämpfung]]=1,1,IF(Tabelle1[[#This Row],[ohne Dämpfung]]=1,2,IF(Tabelle1[[#This Row],[ohne Feder]]=1,3,0))),1,0)</f>
        <v>0</v>
      </c>
      <c r="G505" s="46">
        <f>IF(Tabelle1[[#This Row],[Links]]=select!$I$2,1,0)</f>
        <v>1</v>
      </c>
      <c r="H505" s="46">
        <f>IF(IF(Tabelle1[[#This Row],[Anschrauben]]=1,1,IF(Tabelle1[[#This Row],[Einpressen]]=1,2,IF(Tabelle1[[#This Row],[Werkzeuglos]]=1,3,0)))=select!$E$7,1,0)</f>
        <v>1</v>
      </c>
      <c r="I505" s="46">
        <f ca="1">IF(Tabelle1[[#This Row],[Winkel]]+Tabelle1[[#This Row],[Kröpfung]]+Tabelle1[[#This Row],[Däpfung]]+Tabelle1[[#This Row],[Bohrbild]]+Tabelle1[[#This Row],[Scharnierbefestigung]]=5,1,0)</f>
        <v>0</v>
      </c>
      <c r="J505" t="str">
        <f ca="1">Sprache!$A$53</f>
        <v>TIOMOS hinge T-Click-on</v>
      </c>
      <c r="K505" t="str">
        <f ca="1">"95°, B-BB, K03, "&amp;Sprache!A59&amp;", ni"</f>
        <v>95°, B-BB, K03, Dowel, ni</v>
      </c>
      <c r="L505" t="str">
        <f ca="1">Sprache!$A$63</f>
        <v>TIOMOS Click-on hinges</v>
      </c>
      <c r="M505">
        <v>3</v>
      </c>
      <c r="N505" t="s">
        <v>3</v>
      </c>
      <c r="O505">
        <v>95</v>
      </c>
      <c r="P505">
        <v>0</v>
      </c>
      <c r="Q505">
        <v>1</v>
      </c>
      <c r="R505">
        <v>0</v>
      </c>
      <c r="S505">
        <v>0</v>
      </c>
      <c r="T505">
        <v>1</v>
      </c>
      <c r="U505">
        <v>0</v>
      </c>
      <c r="V505" s="14" t="s">
        <v>560</v>
      </c>
    </row>
    <row r="506" spans="1:22" ht="14.25" customHeight="1" x14ac:dyDescent="0.25">
      <c r="A506" s="48" t="str">
        <f>LEFT(Tabelle1[[#This Row],[Artikel'#]],4)</f>
        <v>F045</v>
      </c>
      <c r="B506" s="46" t="str">
        <f>MID(Tabelle1[[#This Row],[Artikel'#]],5,3)</f>
        <v>138</v>
      </c>
      <c r="C506" s="48" t="str">
        <f>RIGHT(Tabelle1[[#This Row],[Artikel'#]],3)</f>
        <v>511</v>
      </c>
      <c r="D506" s="46">
        <f>IF(Tabelle1[[#This Row],[Winkel2]]=select!$A$2,1,0)</f>
        <v>0</v>
      </c>
      <c r="E5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06" s="46">
        <f>IF(select!$E$16=IF(Tabelle1[[#This Row],[mit Dämpfung]]=1,1,IF(Tabelle1[[#This Row],[ohne Dämpfung]]=1,2,IF(Tabelle1[[#This Row],[ohne Feder]]=1,3,0))),1,0)</f>
        <v>0</v>
      </c>
      <c r="G506" s="46">
        <f>IF(Tabelle1[[#This Row],[Links]]=select!$I$2,1,0)</f>
        <v>1</v>
      </c>
      <c r="H506" s="46">
        <f>IF(IF(Tabelle1[[#This Row],[Anschrauben]]=1,1,IF(Tabelle1[[#This Row],[Einpressen]]=1,2,IF(Tabelle1[[#This Row],[Werkzeuglos]]=1,3,0)))=select!$E$7,1,0)</f>
        <v>1</v>
      </c>
      <c r="I506" s="46">
        <f ca="1">IF(Tabelle1[[#This Row],[Winkel]]+Tabelle1[[#This Row],[Kröpfung]]+Tabelle1[[#This Row],[Däpfung]]+Tabelle1[[#This Row],[Bohrbild]]+Tabelle1[[#This Row],[Scharnierbefestigung]]=5,1,0)</f>
        <v>0</v>
      </c>
      <c r="J506" t="str">
        <f ca="1">Sprache!$A$53</f>
        <v>TIOMOS hinge T-Click-on</v>
      </c>
      <c r="K506" t="str">
        <f ca="1">"95°, B-BB, K95, "&amp;Sprache!A59&amp;", ni"</f>
        <v>95°, B-BB, K95, Dowel, ni</v>
      </c>
      <c r="L506" t="str">
        <f ca="1">Sprache!$A$63</f>
        <v>TIOMOS Click-on hinges</v>
      </c>
      <c r="M506">
        <v>9.5</v>
      </c>
      <c r="N506" t="s">
        <v>3</v>
      </c>
      <c r="O506">
        <v>95</v>
      </c>
      <c r="P506">
        <v>0</v>
      </c>
      <c r="Q506">
        <v>1</v>
      </c>
      <c r="R506">
        <v>0</v>
      </c>
      <c r="S506">
        <v>0</v>
      </c>
      <c r="T506">
        <v>1</v>
      </c>
      <c r="U506">
        <v>0</v>
      </c>
      <c r="V506" s="14" t="s">
        <v>561</v>
      </c>
    </row>
    <row r="507" spans="1:22" ht="14.25" customHeight="1" x14ac:dyDescent="0.25">
      <c r="A507" s="48" t="str">
        <f>LEFT(Tabelle1[[#This Row],[Artikel'#]],4)</f>
        <v>F045</v>
      </c>
      <c r="B507" s="46" t="str">
        <f>MID(Tabelle1[[#This Row],[Artikel'#]],5,3)</f>
        <v>138</v>
      </c>
      <c r="C507" s="48" t="str">
        <f>RIGHT(Tabelle1[[#This Row],[Artikel'#]],3)</f>
        <v>512</v>
      </c>
      <c r="D507" s="46">
        <f>IF(Tabelle1[[#This Row],[Winkel2]]=select!$A$2,1,0)</f>
        <v>0</v>
      </c>
      <c r="E5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7" s="46">
        <f>IF(select!$E$16=IF(Tabelle1[[#This Row],[mit Dämpfung]]=1,1,IF(Tabelle1[[#This Row],[ohne Dämpfung]]=1,2,IF(Tabelle1[[#This Row],[ohne Feder]]=1,3,0))),1,0)</f>
        <v>0</v>
      </c>
      <c r="G507" s="46">
        <f>IF(Tabelle1[[#This Row],[Links]]=select!$I$2,1,0)</f>
        <v>1</v>
      </c>
      <c r="H507" s="46">
        <f>IF(IF(Tabelle1[[#This Row],[Anschrauben]]=1,1,IF(Tabelle1[[#This Row],[Einpressen]]=1,2,IF(Tabelle1[[#This Row],[Werkzeuglos]]=1,3,0)))=select!$E$7,1,0)</f>
        <v>1</v>
      </c>
      <c r="I507" s="46">
        <f ca="1">IF(Tabelle1[[#This Row],[Winkel]]+Tabelle1[[#This Row],[Kröpfung]]+Tabelle1[[#This Row],[Däpfung]]+Tabelle1[[#This Row],[Bohrbild]]+Tabelle1[[#This Row],[Scharnierbefestigung]]=5,1,0)</f>
        <v>0</v>
      </c>
      <c r="J507" t="str">
        <f ca="1">Sprache!$A$53</f>
        <v>TIOMOS hinge T-Click-on</v>
      </c>
      <c r="K507" t="str">
        <f ca="1">"95°, B-BB, K19, "&amp;Sprache!A59&amp;", ni"</f>
        <v>95°, B-BB, K19, Dowel, ni</v>
      </c>
      <c r="L507" t="str">
        <f ca="1">Sprache!$A$63</f>
        <v>TIOMOS Click-on hinges</v>
      </c>
      <c r="M507">
        <v>19</v>
      </c>
      <c r="N507" t="s">
        <v>3</v>
      </c>
      <c r="O507">
        <v>95</v>
      </c>
      <c r="P507">
        <v>0</v>
      </c>
      <c r="Q507">
        <v>1</v>
      </c>
      <c r="R507">
        <v>0</v>
      </c>
      <c r="S507">
        <v>0</v>
      </c>
      <c r="T507">
        <v>1</v>
      </c>
      <c r="U507">
        <v>0</v>
      </c>
      <c r="V507" s="14" t="s">
        <v>562</v>
      </c>
    </row>
    <row r="508" spans="1:22" ht="14.25" customHeight="1" x14ac:dyDescent="0.25">
      <c r="A508" s="48" t="str">
        <f>LEFT(Tabelle1[[#This Row],[Artikel'#]],4)</f>
        <v>F045</v>
      </c>
      <c r="B508" s="46" t="str">
        <f>MID(Tabelle1[[#This Row],[Artikel'#]],5,3)</f>
        <v>138</v>
      </c>
      <c r="C508" s="48" t="str">
        <f>RIGHT(Tabelle1[[#This Row],[Artikel'#]],3)</f>
        <v>639</v>
      </c>
      <c r="D508" s="46">
        <f>IF(Tabelle1[[#This Row],[Winkel2]]=select!$A$2,1,0)</f>
        <v>1</v>
      </c>
      <c r="E5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8" s="46">
        <f>IF(select!$E$16=IF(Tabelle1[[#This Row],[mit Dämpfung]]=1,1,IF(Tabelle1[[#This Row],[ohne Dämpfung]]=1,2,IF(Tabelle1[[#This Row],[ohne Feder]]=1,3,0))),1,0)</f>
        <v>0</v>
      </c>
      <c r="G508" s="46">
        <f>IF(Tabelle1[[#This Row],[Links]]=select!$I$2,1,0)</f>
        <v>0</v>
      </c>
      <c r="H508" s="46">
        <f>IF(IF(Tabelle1[[#This Row],[Anschrauben]]=1,1,IF(Tabelle1[[#This Row],[Einpressen]]=1,2,IF(Tabelle1[[#This Row],[Werkzeuglos]]=1,3,0)))=select!$E$7,1,0)</f>
        <v>0</v>
      </c>
      <c r="I508" s="46">
        <f ca="1">IF(Tabelle1[[#This Row],[Winkel]]+Tabelle1[[#This Row],[Kröpfung]]+Tabelle1[[#This Row],[Däpfung]]+Tabelle1[[#This Row],[Bohrbild]]+Tabelle1[[#This Row],[Scharnierbefestigung]]=5,1,0)</f>
        <v>0</v>
      </c>
      <c r="J508" t="str">
        <f ca="1">Sprache!$A$53</f>
        <v>TIOMOS hinge T-Click-on</v>
      </c>
      <c r="K508" t="s">
        <v>382</v>
      </c>
      <c r="L508" t="str">
        <f ca="1">Sprache!$A$63</f>
        <v>TIOMOS Click-on hinges</v>
      </c>
      <c r="M508">
        <v>0</v>
      </c>
      <c r="N508" t="s">
        <v>14</v>
      </c>
      <c r="O508">
        <v>110</v>
      </c>
      <c r="P508">
        <v>0</v>
      </c>
      <c r="Q508">
        <v>1</v>
      </c>
      <c r="R508">
        <v>0</v>
      </c>
      <c r="S508">
        <v>1</v>
      </c>
      <c r="T508">
        <v>0</v>
      </c>
      <c r="U508">
        <v>0</v>
      </c>
      <c r="V508" s="14" t="s">
        <v>563</v>
      </c>
    </row>
    <row r="509" spans="1:22" ht="14.25" customHeight="1" x14ac:dyDescent="0.25">
      <c r="A509" s="48" t="str">
        <f>LEFT(Tabelle1[[#This Row],[Artikel'#]],4)</f>
        <v>F045</v>
      </c>
      <c r="B509" s="46" t="str">
        <f>MID(Tabelle1[[#This Row],[Artikel'#]],5,3)</f>
        <v>138</v>
      </c>
      <c r="C509" s="48" t="str">
        <f>RIGHT(Tabelle1[[#This Row],[Artikel'#]],3)</f>
        <v>640</v>
      </c>
      <c r="D509" s="46">
        <f>IF(Tabelle1[[#This Row],[Winkel2]]=select!$A$2,1,0)</f>
        <v>1</v>
      </c>
      <c r="E5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09" s="46">
        <f>IF(select!$E$16=IF(Tabelle1[[#This Row],[mit Dämpfung]]=1,1,IF(Tabelle1[[#This Row],[ohne Dämpfung]]=1,2,IF(Tabelle1[[#This Row],[ohne Feder]]=1,3,0))),1,0)</f>
        <v>0</v>
      </c>
      <c r="G509" s="46">
        <f>IF(Tabelle1[[#This Row],[Links]]=select!$I$2,1,0)</f>
        <v>0</v>
      </c>
      <c r="H509" s="46">
        <f>IF(IF(Tabelle1[[#This Row],[Anschrauben]]=1,1,IF(Tabelle1[[#This Row],[Einpressen]]=1,2,IF(Tabelle1[[#This Row],[Werkzeuglos]]=1,3,0)))=select!$E$7,1,0)</f>
        <v>0</v>
      </c>
      <c r="I509" s="46">
        <f ca="1">IF(Tabelle1[[#This Row],[Winkel]]+Tabelle1[[#This Row],[Kröpfung]]+Tabelle1[[#This Row],[Däpfung]]+Tabelle1[[#This Row],[Bohrbild]]+Tabelle1[[#This Row],[Scharnierbefestigung]]=5,1,0)</f>
        <v>0</v>
      </c>
      <c r="J509" t="str">
        <f ca="1">Sprache!$A$53</f>
        <v>TIOMOS hinge T-Click-on</v>
      </c>
      <c r="K509" t="s">
        <v>384</v>
      </c>
      <c r="L509" t="str">
        <f ca="1">Sprache!$A$63</f>
        <v>TIOMOS Click-on hinges</v>
      </c>
      <c r="M509">
        <v>3</v>
      </c>
      <c r="N509" t="s">
        <v>14</v>
      </c>
      <c r="O509">
        <v>110</v>
      </c>
      <c r="P509">
        <v>0</v>
      </c>
      <c r="Q509">
        <v>1</v>
      </c>
      <c r="R509">
        <v>0</v>
      </c>
      <c r="S509">
        <v>1</v>
      </c>
      <c r="T509">
        <v>0</v>
      </c>
      <c r="U509">
        <v>0</v>
      </c>
      <c r="V509" s="14" t="s">
        <v>564</v>
      </c>
    </row>
    <row r="510" spans="1:22" ht="14.25" customHeight="1" x14ac:dyDescent="0.25">
      <c r="A510" s="48" t="str">
        <f>LEFT(Tabelle1[[#This Row],[Artikel'#]],4)</f>
        <v>F045</v>
      </c>
      <c r="B510" s="46" t="str">
        <f>MID(Tabelle1[[#This Row],[Artikel'#]],5,3)</f>
        <v>138</v>
      </c>
      <c r="C510" s="48" t="str">
        <f>RIGHT(Tabelle1[[#This Row],[Artikel'#]],3)</f>
        <v>641</v>
      </c>
      <c r="D510" s="46">
        <f>IF(Tabelle1[[#This Row],[Winkel2]]=select!$A$2,1,0)</f>
        <v>1</v>
      </c>
      <c r="E5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10" s="46">
        <f>IF(select!$E$16=IF(Tabelle1[[#This Row],[mit Dämpfung]]=1,1,IF(Tabelle1[[#This Row],[ohne Dämpfung]]=1,2,IF(Tabelle1[[#This Row],[ohne Feder]]=1,3,0))),1,0)</f>
        <v>0</v>
      </c>
      <c r="G510" s="46">
        <f>IF(Tabelle1[[#This Row],[Links]]=select!$I$2,1,0)</f>
        <v>0</v>
      </c>
      <c r="H510" s="46">
        <f>IF(IF(Tabelle1[[#This Row],[Anschrauben]]=1,1,IF(Tabelle1[[#This Row],[Einpressen]]=1,2,IF(Tabelle1[[#This Row],[Werkzeuglos]]=1,3,0)))=select!$E$7,1,0)</f>
        <v>0</v>
      </c>
      <c r="I510" s="46">
        <f ca="1">IF(Tabelle1[[#This Row],[Winkel]]+Tabelle1[[#This Row],[Kröpfung]]+Tabelle1[[#This Row],[Däpfung]]+Tabelle1[[#This Row],[Bohrbild]]+Tabelle1[[#This Row],[Scharnierbefestigung]]=5,1,0)</f>
        <v>0</v>
      </c>
      <c r="J510" t="str">
        <f ca="1">Sprache!$A$53</f>
        <v>TIOMOS hinge T-Click-on</v>
      </c>
      <c r="K510" t="s">
        <v>386</v>
      </c>
      <c r="L510" t="str">
        <f ca="1">Sprache!$A$63</f>
        <v>TIOMOS Click-on hinges</v>
      </c>
      <c r="M510">
        <v>9.5</v>
      </c>
      <c r="N510" t="s">
        <v>14</v>
      </c>
      <c r="O510">
        <v>110</v>
      </c>
      <c r="P510">
        <v>0</v>
      </c>
      <c r="Q510">
        <v>1</v>
      </c>
      <c r="R510">
        <v>0</v>
      </c>
      <c r="S510">
        <v>1</v>
      </c>
      <c r="T510">
        <v>0</v>
      </c>
      <c r="U510">
        <v>0</v>
      </c>
      <c r="V510" s="14" t="s">
        <v>565</v>
      </c>
    </row>
    <row r="511" spans="1:22" ht="14.25" customHeight="1" x14ac:dyDescent="0.25">
      <c r="A511" s="48" t="str">
        <f>LEFT(Tabelle1[[#This Row],[Artikel'#]],4)</f>
        <v>F045</v>
      </c>
      <c r="B511" s="46" t="str">
        <f>MID(Tabelle1[[#This Row],[Artikel'#]],5,3)</f>
        <v>138</v>
      </c>
      <c r="C511" s="48" t="str">
        <f>RIGHT(Tabelle1[[#This Row],[Artikel'#]],3)</f>
        <v>642</v>
      </c>
      <c r="D511" s="46">
        <f>IF(Tabelle1[[#This Row],[Winkel2]]=select!$A$2,1,0)</f>
        <v>1</v>
      </c>
      <c r="E5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1" s="46">
        <f>IF(select!$E$16=IF(Tabelle1[[#This Row],[mit Dämpfung]]=1,1,IF(Tabelle1[[#This Row],[ohne Dämpfung]]=1,2,IF(Tabelle1[[#This Row],[ohne Feder]]=1,3,0))),1,0)</f>
        <v>0</v>
      </c>
      <c r="G511" s="46">
        <f>IF(Tabelle1[[#This Row],[Links]]=select!$I$2,1,0)</f>
        <v>0</v>
      </c>
      <c r="H511" s="46">
        <f>IF(IF(Tabelle1[[#This Row],[Anschrauben]]=1,1,IF(Tabelle1[[#This Row],[Einpressen]]=1,2,IF(Tabelle1[[#This Row],[Werkzeuglos]]=1,3,0)))=select!$E$7,1,0)</f>
        <v>0</v>
      </c>
      <c r="I511" s="46">
        <f ca="1">IF(Tabelle1[[#This Row],[Winkel]]+Tabelle1[[#This Row],[Kröpfung]]+Tabelle1[[#This Row],[Däpfung]]+Tabelle1[[#This Row],[Bohrbild]]+Tabelle1[[#This Row],[Scharnierbefestigung]]=5,1,0)</f>
        <v>0</v>
      </c>
      <c r="J511" t="str">
        <f ca="1">Sprache!$A$53</f>
        <v>TIOMOS hinge T-Click-on</v>
      </c>
      <c r="K511" t="s">
        <v>388</v>
      </c>
      <c r="L511" t="str">
        <f ca="1">Sprache!$A$63</f>
        <v>TIOMOS Click-on hinges</v>
      </c>
      <c r="M511">
        <v>19</v>
      </c>
      <c r="N511" t="s">
        <v>14</v>
      </c>
      <c r="O511">
        <v>110</v>
      </c>
      <c r="P511">
        <v>0</v>
      </c>
      <c r="Q511">
        <v>1</v>
      </c>
      <c r="R511">
        <v>0</v>
      </c>
      <c r="S511">
        <v>1</v>
      </c>
      <c r="T511">
        <v>0</v>
      </c>
      <c r="U511">
        <v>0</v>
      </c>
      <c r="V511" s="14" t="s">
        <v>566</v>
      </c>
    </row>
    <row r="512" spans="1:22" ht="14.25" customHeight="1" x14ac:dyDescent="0.25">
      <c r="A512" s="48" t="str">
        <f>LEFT(Tabelle1[[#This Row],[Artikel'#]],4)</f>
        <v>F045</v>
      </c>
      <c r="B512" s="46" t="str">
        <f>MID(Tabelle1[[#This Row],[Artikel'#]],5,3)</f>
        <v>138</v>
      </c>
      <c r="C512" s="48" t="str">
        <f>RIGHT(Tabelle1[[#This Row],[Artikel'#]],3)</f>
        <v>643</v>
      </c>
      <c r="D512" s="46">
        <f>IF(Tabelle1[[#This Row],[Winkel2]]=select!$A$2,1,0)</f>
        <v>1</v>
      </c>
      <c r="E5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2" s="46">
        <f>IF(select!$E$16=IF(Tabelle1[[#This Row],[mit Dämpfung]]=1,1,IF(Tabelle1[[#This Row],[ohne Dämpfung]]=1,2,IF(Tabelle1[[#This Row],[ohne Feder]]=1,3,0))),1,0)</f>
        <v>0</v>
      </c>
      <c r="G512" s="46">
        <f>IF(Tabelle1[[#This Row],[Links]]=select!$I$2,1,0)</f>
        <v>0</v>
      </c>
      <c r="H512" s="46">
        <f>IF(IF(Tabelle1[[#This Row],[Anschrauben]]=1,1,IF(Tabelle1[[#This Row],[Einpressen]]=1,2,IF(Tabelle1[[#This Row],[Werkzeuglos]]=1,3,0)))=select!$E$7,1,0)</f>
        <v>1</v>
      </c>
      <c r="I512" s="46">
        <f ca="1">IF(Tabelle1[[#This Row],[Winkel]]+Tabelle1[[#This Row],[Kröpfung]]+Tabelle1[[#This Row],[Däpfung]]+Tabelle1[[#This Row],[Bohrbild]]+Tabelle1[[#This Row],[Scharnierbefestigung]]=5,1,0)</f>
        <v>0</v>
      </c>
      <c r="J512" t="str">
        <f ca="1">Sprache!$A$53</f>
        <v>TIOMOS hinge T-Click-on</v>
      </c>
      <c r="K512" t="str">
        <f ca="1">"110°, H-BB, K00, "&amp;Sprache!A59&amp;", ni"</f>
        <v>110°, H-BB, K00, Dowel, ni</v>
      </c>
      <c r="L512" t="str">
        <f ca="1">Sprache!$A$63</f>
        <v>TIOMOS Click-on hinges</v>
      </c>
      <c r="M512">
        <v>0</v>
      </c>
      <c r="N512" t="s">
        <v>14</v>
      </c>
      <c r="O512">
        <v>110</v>
      </c>
      <c r="P512">
        <v>0</v>
      </c>
      <c r="Q512">
        <v>1</v>
      </c>
      <c r="R512">
        <v>0</v>
      </c>
      <c r="S512">
        <v>0</v>
      </c>
      <c r="T512">
        <v>1</v>
      </c>
      <c r="U512">
        <v>0</v>
      </c>
      <c r="V512" s="14" t="s">
        <v>567</v>
      </c>
    </row>
    <row r="513" spans="1:22" ht="14.25" customHeight="1" x14ac:dyDescent="0.25">
      <c r="A513" s="48" t="str">
        <f>LEFT(Tabelle1[[#This Row],[Artikel'#]],4)</f>
        <v>F045</v>
      </c>
      <c r="B513" s="46" t="str">
        <f>MID(Tabelle1[[#This Row],[Artikel'#]],5,3)</f>
        <v>138</v>
      </c>
      <c r="C513" s="48" t="str">
        <f>RIGHT(Tabelle1[[#This Row],[Artikel'#]],3)</f>
        <v>644</v>
      </c>
      <c r="D513" s="46">
        <f>IF(Tabelle1[[#This Row],[Winkel2]]=select!$A$2,1,0)</f>
        <v>1</v>
      </c>
      <c r="E5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3" s="46">
        <f>IF(select!$E$16=IF(Tabelle1[[#This Row],[mit Dämpfung]]=1,1,IF(Tabelle1[[#This Row],[ohne Dämpfung]]=1,2,IF(Tabelle1[[#This Row],[ohne Feder]]=1,3,0))),1,0)</f>
        <v>0</v>
      </c>
      <c r="G513" s="46">
        <f>IF(Tabelle1[[#This Row],[Links]]=select!$I$2,1,0)</f>
        <v>0</v>
      </c>
      <c r="H513" s="46">
        <f>IF(IF(Tabelle1[[#This Row],[Anschrauben]]=1,1,IF(Tabelle1[[#This Row],[Einpressen]]=1,2,IF(Tabelle1[[#This Row],[Werkzeuglos]]=1,3,0)))=select!$E$7,1,0)</f>
        <v>1</v>
      </c>
      <c r="I513" s="46">
        <f ca="1">IF(Tabelle1[[#This Row],[Winkel]]+Tabelle1[[#This Row],[Kröpfung]]+Tabelle1[[#This Row],[Däpfung]]+Tabelle1[[#This Row],[Bohrbild]]+Tabelle1[[#This Row],[Scharnierbefestigung]]=5,1,0)</f>
        <v>0</v>
      </c>
      <c r="J513" t="str">
        <f ca="1">Sprache!$A$53</f>
        <v>TIOMOS hinge T-Click-on</v>
      </c>
      <c r="K513" t="str">
        <f ca="1">"110°, H-BB, K03, "&amp;Sprache!A59&amp;", ni"</f>
        <v>110°, H-BB, K03, Dowel, ni</v>
      </c>
      <c r="L513" t="str">
        <f ca="1">Sprache!$A$63</f>
        <v>TIOMOS Click-on hinges</v>
      </c>
      <c r="M513">
        <v>3</v>
      </c>
      <c r="N513" t="s">
        <v>14</v>
      </c>
      <c r="O513">
        <v>110</v>
      </c>
      <c r="P513">
        <v>0</v>
      </c>
      <c r="Q513">
        <v>1</v>
      </c>
      <c r="R513">
        <v>0</v>
      </c>
      <c r="S513">
        <v>0</v>
      </c>
      <c r="T513">
        <v>1</v>
      </c>
      <c r="U513">
        <v>0</v>
      </c>
      <c r="V513" s="14" t="s">
        <v>568</v>
      </c>
    </row>
    <row r="514" spans="1:22" ht="14.25" customHeight="1" x14ac:dyDescent="0.25">
      <c r="A514" s="48" t="str">
        <f>LEFT(Tabelle1[[#This Row],[Artikel'#]],4)</f>
        <v>F045</v>
      </c>
      <c r="B514" s="46" t="str">
        <f>MID(Tabelle1[[#This Row],[Artikel'#]],5,3)</f>
        <v>138</v>
      </c>
      <c r="C514" s="48" t="str">
        <f>RIGHT(Tabelle1[[#This Row],[Artikel'#]],3)</f>
        <v>645</v>
      </c>
      <c r="D514" s="46">
        <f>IF(Tabelle1[[#This Row],[Winkel2]]=select!$A$2,1,0)</f>
        <v>1</v>
      </c>
      <c r="E5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14" s="46">
        <f>IF(select!$E$16=IF(Tabelle1[[#This Row],[mit Dämpfung]]=1,1,IF(Tabelle1[[#This Row],[ohne Dämpfung]]=1,2,IF(Tabelle1[[#This Row],[ohne Feder]]=1,3,0))),1,0)</f>
        <v>0</v>
      </c>
      <c r="G514" s="46">
        <f>IF(Tabelle1[[#This Row],[Links]]=select!$I$2,1,0)</f>
        <v>0</v>
      </c>
      <c r="H514" s="46">
        <f>IF(IF(Tabelle1[[#This Row],[Anschrauben]]=1,1,IF(Tabelle1[[#This Row],[Einpressen]]=1,2,IF(Tabelle1[[#This Row],[Werkzeuglos]]=1,3,0)))=select!$E$7,1,0)</f>
        <v>1</v>
      </c>
      <c r="I514" s="46">
        <f ca="1">IF(Tabelle1[[#This Row],[Winkel]]+Tabelle1[[#This Row],[Kröpfung]]+Tabelle1[[#This Row],[Däpfung]]+Tabelle1[[#This Row],[Bohrbild]]+Tabelle1[[#This Row],[Scharnierbefestigung]]=5,1,0)</f>
        <v>0</v>
      </c>
      <c r="J514" t="str">
        <f ca="1">Sprache!$A$53</f>
        <v>TIOMOS hinge T-Click-on</v>
      </c>
      <c r="K514" t="str">
        <f ca="1">"110°, H-BB, K95, "&amp;Sprache!A59&amp;", ni"</f>
        <v>110°, H-BB, K95, Dowel, ni</v>
      </c>
      <c r="L514" t="str">
        <f ca="1">Sprache!$A$63</f>
        <v>TIOMOS Click-on hinges</v>
      </c>
      <c r="M514">
        <v>9.5</v>
      </c>
      <c r="N514" t="s">
        <v>14</v>
      </c>
      <c r="O514">
        <v>110</v>
      </c>
      <c r="P514">
        <v>0</v>
      </c>
      <c r="Q514">
        <v>1</v>
      </c>
      <c r="R514">
        <v>0</v>
      </c>
      <c r="S514">
        <v>0</v>
      </c>
      <c r="T514">
        <v>1</v>
      </c>
      <c r="U514">
        <v>0</v>
      </c>
      <c r="V514" s="14" t="s">
        <v>569</v>
      </c>
    </row>
    <row r="515" spans="1:22" ht="14.25" customHeight="1" x14ac:dyDescent="0.25">
      <c r="A515" s="48" t="str">
        <f>LEFT(Tabelle1[[#This Row],[Artikel'#]],4)</f>
        <v>F045</v>
      </c>
      <c r="B515" s="46" t="str">
        <f>MID(Tabelle1[[#This Row],[Artikel'#]],5,3)</f>
        <v>138</v>
      </c>
      <c r="C515" s="48" t="str">
        <f>RIGHT(Tabelle1[[#This Row],[Artikel'#]],3)</f>
        <v>646</v>
      </c>
      <c r="D515" s="46">
        <f>IF(Tabelle1[[#This Row],[Winkel2]]=select!$A$2,1,0)</f>
        <v>1</v>
      </c>
      <c r="E5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5" s="46">
        <f>IF(select!$E$16=IF(Tabelle1[[#This Row],[mit Dämpfung]]=1,1,IF(Tabelle1[[#This Row],[ohne Dämpfung]]=1,2,IF(Tabelle1[[#This Row],[ohne Feder]]=1,3,0))),1,0)</f>
        <v>0</v>
      </c>
      <c r="G515" s="46">
        <f>IF(Tabelle1[[#This Row],[Links]]=select!$I$2,1,0)</f>
        <v>0</v>
      </c>
      <c r="H515" s="46">
        <f>IF(IF(Tabelle1[[#This Row],[Anschrauben]]=1,1,IF(Tabelle1[[#This Row],[Einpressen]]=1,2,IF(Tabelle1[[#This Row],[Werkzeuglos]]=1,3,0)))=select!$E$7,1,0)</f>
        <v>1</v>
      </c>
      <c r="I515" s="46">
        <f ca="1">IF(Tabelle1[[#This Row],[Winkel]]+Tabelle1[[#This Row],[Kröpfung]]+Tabelle1[[#This Row],[Däpfung]]+Tabelle1[[#This Row],[Bohrbild]]+Tabelle1[[#This Row],[Scharnierbefestigung]]=5,1,0)</f>
        <v>0</v>
      </c>
      <c r="J515" t="str">
        <f ca="1">Sprache!$A$53</f>
        <v>TIOMOS hinge T-Click-on</v>
      </c>
      <c r="K515" t="str">
        <f ca="1">"110°, H-BB, K19, "&amp;Sprache!A59&amp;", ni"</f>
        <v>110°, H-BB, K19, Dowel, ni</v>
      </c>
      <c r="L515" t="str">
        <f ca="1">Sprache!$A$63</f>
        <v>TIOMOS Click-on hinges</v>
      </c>
      <c r="M515">
        <v>19</v>
      </c>
      <c r="N515" t="s">
        <v>14</v>
      </c>
      <c r="O515">
        <v>110</v>
      </c>
      <c r="P515">
        <v>0</v>
      </c>
      <c r="Q515">
        <v>1</v>
      </c>
      <c r="R515">
        <v>0</v>
      </c>
      <c r="S515">
        <v>0</v>
      </c>
      <c r="T515">
        <v>1</v>
      </c>
      <c r="U515">
        <v>0</v>
      </c>
      <c r="V515" s="14" t="s">
        <v>570</v>
      </c>
    </row>
    <row r="516" spans="1:22" ht="14.25" customHeight="1" x14ac:dyDescent="0.25">
      <c r="A516" s="48" t="str">
        <f>LEFT(Tabelle1[[#This Row],[Artikel'#]],4)</f>
        <v>F045</v>
      </c>
      <c r="B516" s="46" t="str">
        <f>MID(Tabelle1[[#This Row],[Artikel'#]],5,3)</f>
        <v>138</v>
      </c>
      <c r="C516" s="48" t="str">
        <f>RIGHT(Tabelle1[[#This Row],[Artikel'#]],3)</f>
        <v>667</v>
      </c>
      <c r="D516" s="46">
        <f>IF(Tabelle1[[#This Row],[Winkel2]]=select!$A$2,1,0)</f>
        <v>0</v>
      </c>
      <c r="E5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6" s="46">
        <f>IF(select!$E$16=IF(Tabelle1[[#This Row],[mit Dämpfung]]=1,1,IF(Tabelle1[[#This Row],[ohne Dämpfung]]=1,2,IF(Tabelle1[[#This Row],[ohne Feder]]=1,3,0))),1,0)</f>
        <v>0</v>
      </c>
      <c r="G516" s="46">
        <f>IF(Tabelle1[[#This Row],[Links]]=select!$I$2,1,0)</f>
        <v>0</v>
      </c>
      <c r="H516" s="46">
        <f>IF(IF(Tabelle1[[#This Row],[Anschrauben]]=1,1,IF(Tabelle1[[#This Row],[Einpressen]]=1,2,IF(Tabelle1[[#This Row],[Werkzeuglos]]=1,3,0)))=select!$E$7,1,0)</f>
        <v>0</v>
      </c>
      <c r="I516" s="46">
        <f ca="1">IF(Tabelle1[[#This Row],[Winkel]]+Tabelle1[[#This Row],[Kröpfung]]+Tabelle1[[#This Row],[Däpfung]]+Tabelle1[[#This Row],[Bohrbild]]+Tabelle1[[#This Row],[Scharnierbefestigung]]=5,1,0)</f>
        <v>0</v>
      </c>
      <c r="J516" t="str">
        <f ca="1">Sprache!$A$53</f>
        <v>TIOMOS hinge T-Click-on</v>
      </c>
      <c r="K516" t="s">
        <v>394</v>
      </c>
      <c r="L516" t="str">
        <f ca="1">Sprache!$A$63</f>
        <v>TIOMOS Click-on hinges</v>
      </c>
      <c r="M516">
        <v>0</v>
      </c>
      <c r="N516" t="s">
        <v>14</v>
      </c>
      <c r="O516">
        <v>120</v>
      </c>
      <c r="P516">
        <v>0</v>
      </c>
      <c r="Q516">
        <v>1</v>
      </c>
      <c r="R516">
        <v>0</v>
      </c>
      <c r="S516">
        <v>1</v>
      </c>
      <c r="T516">
        <v>0</v>
      </c>
      <c r="U516">
        <v>0</v>
      </c>
      <c r="V516" s="14" t="s">
        <v>571</v>
      </c>
    </row>
    <row r="517" spans="1:22" ht="14.25" customHeight="1" x14ac:dyDescent="0.25">
      <c r="A517" s="48" t="str">
        <f>LEFT(Tabelle1[[#This Row],[Artikel'#]],4)</f>
        <v>F045</v>
      </c>
      <c r="B517" s="46" t="str">
        <f>MID(Tabelle1[[#This Row],[Artikel'#]],5,3)</f>
        <v>138</v>
      </c>
      <c r="C517" s="48" t="str">
        <f>RIGHT(Tabelle1[[#This Row],[Artikel'#]],3)</f>
        <v>668</v>
      </c>
      <c r="D517" s="46">
        <f>IF(Tabelle1[[#This Row],[Winkel2]]=select!$A$2,1,0)</f>
        <v>0</v>
      </c>
      <c r="E5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7" s="46">
        <f>IF(select!$E$16=IF(Tabelle1[[#This Row],[mit Dämpfung]]=1,1,IF(Tabelle1[[#This Row],[ohne Dämpfung]]=1,2,IF(Tabelle1[[#This Row],[ohne Feder]]=1,3,0))),1,0)</f>
        <v>0</v>
      </c>
      <c r="G517" s="46">
        <f>IF(Tabelle1[[#This Row],[Links]]=select!$I$2,1,0)</f>
        <v>0</v>
      </c>
      <c r="H517" s="46">
        <f>IF(IF(Tabelle1[[#This Row],[Anschrauben]]=1,1,IF(Tabelle1[[#This Row],[Einpressen]]=1,2,IF(Tabelle1[[#This Row],[Werkzeuglos]]=1,3,0)))=select!$E$7,1,0)</f>
        <v>0</v>
      </c>
      <c r="I517" s="46">
        <f ca="1">IF(Tabelle1[[#This Row],[Winkel]]+Tabelle1[[#This Row],[Kröpfung]]+Tabelle1[[#This Row],[Däpfung]]+Tabelle1[[#This Row],[Bohrbild]]+Tabelle1[[#This Row],[Scharnierbefestigung]]=5,1,0)</f>
        <v>0</v>
      </c>
      <c r="J517" t="str">
        <f ca="1">Sprache!$A$53</f>
        <v>TIOMOS hinge T-Click-on</v>
      </c>
      <c r="K517" t="s">
        <v>396</v>
      </c>
      <c r="L517" t="str">
        <f ca="1">Sprache!$A$63</f>
        <v>TIOMOS Click-on hinges</v>
      </c>
      <c r="M517">
        <v>3</v>
      </c>
      <c r="N517" t="s">
        <v>14</v>
      </c>
      <c r="O517">
        <v>120</v>
      </c>
      <c r="P517">
        <v>0</v>
      </c>
      <c r="Q517">
        <v>1</v>
      </c>
      <c r="R517">
        <v>0</v>
      </c>
      <c r="S517">
        <v>1</v>
      </c>
      <c r="T517">
        <v>0</v>
      </c>
      <c r="U517">
        <v>0</v>
      </c>
      <c r="V517" s="14" t="s">
        <v>572</v>
      </c>
    </row>
    <row r="518" spans="1:22" ht="14.25" customHeight="1" x14ac:dyDescent="0.25">
      <c r="A518" s="48" t="str">
        <f>LEFT(Tabelle1[[#This Row],[Artikel'#]],4)</f>
        <v>F045</v>
      </c>
      <c r="B518" s="46" t="str">
        <f>MID(Tabelle1[[#This Row],[Artikel'#]],5,3)</f>
        <v>138</v>
      </c>
      <c r="C518" s="48" t="str">
        <f>RIGHT(Tabelle1[[#This Row],[Artikel'#]],3)</f>
        <v>669</v>
      </c>
      <c r="D518" s="46">
        <f>IF(Tabelle1[[#This Row],[Winkel2]]=select!$A$2,1,0)</f>
        <v>0</v>
      </c>
      <c r="E5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18" s="46">
        <f>IF(select!$E$16=IF(Tabelle1[[#This Row],[mit Dämpfung]]=1,1,IF(Tabelle1[[#This Row],[ohne Dämpfung]]=1,2,IF(Tabelle1[[#This Row],[ohne Feder]]=1,3,0))),1,0)</f>
        <v>0</v>
      </c>
      <c r="G518" s="46">
        <f>IF(Tabelle1[[#This Row],[Links]]=select!$I$2,1,0)</f>
        <v>0</v>
      </c>
      <c r="H518" s="46">
        <f>IF(IF(Tabelle1[[#This Row],[Anschrauben]]=1,1,IF(Tabelle1[[#This Row],[Einpressen]]=1,2,IF(Tabelle1[[#This Row],[Werkzeuglos]]=1,3,0)))=select!$E$7,1,0)</f>
        <v>0</v>
      </c>
      <c r="I518" s="46">
        <f ca="1">IF(Tabelle1[[#This Row],[Winkel]]+Tabelle1[[#This Row],[Kröpfung]]+Tabelle1[[#This Row],[Däpfung]]+Tabelle1[[#This Row],[Bohrbild]]+Tabelle1[[#This Row],[Scharnierbefestigung]]=5,1,0)</f>
        <v>0</v>
      </c>
      <c r="J518" t="str">
        <f ca="1">Sprache!$A$53</f>
        <v>TIOMOS hinge T-Click-on</v>
      </c>
      <c r="K518" t="s">
        <v>398</v>
      </c>
      <c r="L518" t="str">
        <f ca="1">Sprache!$A$63</f>
        <v>TIOMOS Click-on hinges</v>
      </c>
      <c r="M518">
        <v>9.5</v>
      </c>
      <c r="N518" t="s">
        <v>14</v>
      </c>
      <c r="O518">
        <v>120</v>
      </c>
      <c r="P518">
        <v>0</v>
      </c>
      <c r="Q518">
        <v>1</v>
      </c>
      <c r="R518">
        <v>0</v>
      </c>
      <c r="S518">
        <v>1</v>
      </c>
      <c r="T518">
        <v>0</v>
      </c>
      <c r="U518">
        <v>0</v>
      </c>
      <c r="V518" s="14" t="s">
        <v>573</v>
      </c>
    </row>
    <row r="519" spans="1:22" ht="14.25" customHeight="1" x14ac:dyDescent="0.25">
      <c r="A519" s="48" t="str">
        <f>LEFT(Tabelle1[[#This Row],[Artikel'#]],4)</f>
        <v>F045</v>
      </c>
      <c r="B519" s="46" t="str">
        <f>MID(Tabelle1[[#This Row],[Artikel'#]],5,3)</f>
        <v>138</v>
      </c>
      <c r="C519" s="48" t="str">
        <f>RIGHT(Tabelle1[[#This Row],[Artikel'#]],3)</f>
        <v>671</v>
      </c>
      <c r="D519" s="46">
        <f>IF(Tabelle1[[#This Row],[Winkel2]]=select!$A$2,1,0)</f>
        <v>0</v>
      </c>
      <c r="E5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19" s="46">
        <f>IF(select!$E$16=IF(Tabelle1[[#This Row],[mit Dämpfung]]=1,1,IF(Tabelle1[[#This Row],[ohne Dämpfung]]=1,2,IF(Tabelle1[[#This Row],[ohne Feder]]=1,3,0))),1,0)</f>
        <v>0</v>
      </c>
      <c r="G519" s="46">
        <f>IF(Tabelle1[[#This Row],[Links]]=select!$I$2,1,0)</f>
        <v>0</v>
      </c>
      <c r="H519" s="46">
        <f>IF(IF(Tabelle1[[#This Row],[Anschrauben]]=1,1,IF(Tabelle1[[#This Row],[Einpressen]]=1,2,IF(Tabelle1[[#This Row],[Werkzeuglos]]=1,3,0)))=select!$E$7,1,0)</f>
        <v>1</v>
      </c>
      <c r="I519" s="46">
        <f ca="1">IF(Tabelle1[[#This Row],[Winkel]]+Tabelle1[[#This Row],[Kröpfung]]+Tabelle1[[#This Row],[Däpfung]]+Tabelle1[[#This Row],[Bohrbild]]+Tabelle1[[#This Row],[Scharnierbefestigung]]=5,1,0)</f>
        <v>0</v>
      </c>
      <c r="J519" t="str">
        <f ca="1">Sprache!$A$53</f>
        <v>TIOMOS hinge T-Click-on</v>
      </c>
      <c r="K519" t="str">
        <f ca="1">"120°, H-BB, K00, "&amp;Sprache!A59&amp;", ni"</f>
        <v>120°, H-BB, K00, Dowel, ni</v>
      </c>
      <c r="L519" t="str">
        <f ca="1">Sprache!$A$63</f>
        <v>TIOMOS Click-on hinges</v>
      </c>
      <c r="M519">
        <v>0</v>
      </c>
      <c r="N519" t="s">
        <v>14</v>
      </c>
      <c r="O519">
        <v>120</v>
      </c>
      <c r="P519">
        <v>0</v>
      </c>
      <c r="Q519">
        <v>1</v>
      </c>
      <c r="R519">
        <v>0</v>
      </c>
      <c r="S519">
        <v>0</v>
      </c>
      <c r="T519">
        <v>1</v>
      </c>
      <c r="U519">
        <v>0</v>
      </c>
      <c r="V519" s="14" t="s">
        <v>574</v>
      </c>
    </row>
    <row r="520" spans="1:22" ht="14.25" customHeight="1" x14ac:dyDescent="0.25">
      <c r="A520" s="48" t="str">
        <f>LEFT(Tabelle1[[#This Row],[Artikel'#]],4)</f>
        <v>F045</v>
      </c>
      <c r="B520" s="46" t="str">
        <f>MID(Tabelle1[[#This Row],[Artikel'#]],5,3)</f>
        <v>138</v>
      </c>
      <c r="C520" s="48" t="str">
        <f>RIGHT(Tabelle1[[#This Row],[Artikel'#]],3)</f>
        <v>672</v>
      </c>
      <c r="D520" s="46">
        <f>IF(Tabelle1[[#This Row],[Winkel2]]=select!$A$2,1,0)</f>
        <v>0</v>
      </c>
      <c r="E5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0" s="46">
        <f>IF(select!$E$16=IF(Tabelle1[[#This Row],[mit Dämpfung]]=1,1,IF(Tabelle1[[#This Row],[ohne Dämpfung]]=1,2,IF(Tabelle1[[#This Row],[ohne Feder]]=1,3,0))),1,0)</f>
        <v>0</v>
      </c>
      <c r="G520" s="46">
        <f>IF(Tabelle1[[#This Row],[Links]]=select!$I$2,1,0)</f>
        <v>0</v>
      </c>
      <c r="H520" s="46">
        <f>IF(IF(Tabelle1[[#This Row],[Anschrauben]]=1,1,IF(Tabelle1[[#This Row],[Einpressen]]=1,2,IF(Tabelle1[[#This Row],[Werkzeuglos]]=1,3,0)))=select!$E$7,1,0)</f>
        <v>1</v>
      </c>
      <c r="I520" s="46">
        <f ca="1">IF(Tabelle1[[#This Row],[Winkel]]+Tabelle1[[#This Row],[Kröpfung]]+Tabelle1[[#This Row],[Däpfung]]+Tabelle1[[#This Row],[Bohrbild]]+Tabelle1[[#This Row],[Scharnierbefestigung]]=5,1,0)</f>
        <v>0</v>
      </c>
      <c r="J520" t="str">
        <f ca="1">Sprache!$A$53</f>
        <v>TIOMOS hinge T-Click-on</v>
      </c>
      <c r="K520" t="str">
        <f ca="1">"120°, H-BB, K03, "&amp;Sprache!A59&amp;", ni"</f>
        <v>120°, H-BB, K03, Dowel, ni</v>
      </c>
      <c r="L520" t="str">
        <f ca="1">Sprache!$A$63</f>
        <v>TIOMOS Click-on hinges</v>
      </c>
      <c r="M520">
        <v>3</v>
      </c>
      <c r="N520" t="s">
        <v>14</v>
      </c>
      <c r="O520">
        <v>120</v>
      </c>
      <c r="P520">
        <v>0</v>
      </c>
      <c r="Q520">
        <v>1</v>
      </c>
      <c r="R520">
        <v>0</v>
      </c>
      <c r="S520">
        <v>0</v>
      </c>
      <c r="T520">
        <v>1</v>
      </c>
      <c r="U520">
        <v>0</v>
      </c>
      <c r="V520" s="14" t="s">
        <v>575</v>
      </c>
    </row>
    <row r="521" spans="1:22" ht="14.25" customHeight="1" x14ac:dyDescent="0.25">
      <c r="A521" s="48" t="str">
        <f>LEFT(Tabelle1[[#This Row],[Artikel'#]],4)</f>
        <v>F045</v>
      </c>
      <c r="B521" s="46" t="str">
        <f>MID(Tabelle1[[#This Row],[Artikel'#]],5,3)</f>
        <v>138</v>
      </c>
      <c r="C521" s="48" t="str">
        <f>RIGHT(Tabelle1[[#This Row],[Artikel'#]],3)</f>
        <v>673</v>
      </c>
      <c r="D521" s="46">
        <f>IF(Tabelle1[[#This Row],[Winkel2]]=select!$A$2,1,0)</f>
        <v>0</v>
      </c>
      <c r="E5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21" s="46">
        <f>IF(select!$E$16=IF(Tabelle1[[#This Row],[mit Dämpfung]]=1,1,IF(Tabelle1[[#This Row],[ohne Dämpfung]]=1,2,IF(Tabelle1[[#This Row],[ohne Feder]]=1,3,0))),1,0)</f>
        <v>0</v>
      </c>
      <c r="G521" s="46">
        <f>IF(Tabelle1[[#This Row],[Links]]=select!$I$2,1,0)</f>
        <v>0</v>
      </c>
      <c r="H521" s="46">
        <f>IF(IF(Tabelle1[[#This Row],[Anschrauben]]=1,1,IF(Tabelle1[[#This Row],[Einpressen]]=1,2,IF(Tabelle1[[#This Row],[Werkzeuglos]]=1,3,0)))=select!$E$7,1,0)</f>
        <v>1</v>
      </c>
      <c r="I521" s="46">
        <f ca="1">IF(Tabelle1[[#This Row],[Winkel]]+Tabelle1[[#This Row],[Kröpfung]]+Tabelle1[[#This Row],[Däpfung]]+Tabelle1[[#This Row],[Bohrbild]]+Tabelle1[[#This Row],[Scharnierbefestigung]]=5,1,0)</f>
        <v>0</v>
      </c>
      <c r="J521" t="str">
        <f ca="1">Sprache!$A$53</f>
        <v>TIOMOS hinge T-Click-on</v>
      </c>
      <c r="K521" t="str">
        <f ca="1">"120°, H-BB, K95, "&amp;Sprache!A59&amp;", ni"</f>
        <v>120°, H-BB, K95, Dowel, ni</v>
      </c>
      <c r="L521" t="str">
        <f ca="1">Sprache!$A$63</f>
        <v>TIOMOS Click-on hinges</v>
      </c>
      <c r="M521">
        <v>9.5</v>
      </c>
      <c r="N521" t="s">
        <v>14</v>
      </c>
      <c r="O521">
        <v>120</v>
      </c>
      <c r="P521">
        <v>0</v>
      </c>
      <c r="Q521">
        <v>1</v>
      </c>
      <c r="R521">
        <v>0</v>
      </c>
      <c r="S521">
        <v>0</v>
      </c>
      <c r="T521">
        <v>1</v>
      </c>
      <c r="U521">
        <v>0</v>
      </c>
      <c r="V521" s="14" t="s">
        <v>576</v>
      </c>
    </row>
    <row r="522" spans="1:22" ht="14.25" customHeight="1" x14ac:dyDescent="0.25">
      <c r="A522" s="48" t="str">
        <f>LEFT(Tabelle1[[#This Row],[Artikel'#]],4)</f>
        <v>F045</v>
      </c>
      <c r="B522" s="46" t="str">
        <f>MID(Tabelle1[[#This Row],[Artikel'#]],5,3)</f>
        <v>138</v>
      </c>
      <c r="C522" s="48" t="str">
        <f>RIGHT(Tabelle1[[#This Row],[Artikel'#]],3)</f>
        <v>681</v>
      </c>
      <c r="D522" s="46">
        <f>IF(Tabelle1[[#This Row],[Winkel2]]=select!$A$2,1,0)</f>
        <v>0</v>
      </c>
      <c r="E5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2" s="46">
        <f>IF(select!$E$16=IF(Tabelle1[[#This Row],[mit Dämpfung]]=1,1,IF(Tabelle1[[#This Row],[ohne Dämpfung]]=1,2,IF(Tabelle1[[#This Row],[ohne Feder]]=1,3,0))),1,0)</f>
        <v>0</v>
      </c>
      <c r="G522" s="46">
        <f>IF(Tabelle1[[#This Row],[Links]]=select!$I$2,1,0)</f>
        <v>0</v>
      </c>
      <c r="H522" s="46">
        <f>IF(IF(Tabelle1[[#This Row],[Anschrauben]]=1,1,IF(Tabelle1[[#This Row],[Einpressen]]=1,2,IF(Tabelle1[[#This Row],[Werkzeuglos]]=1,3,0)))=select!$E$7,1,0)</f>
        <v>0</v>
      </c>
      <c r="I522" s="46">
        <f ca="1">IF(Tabelle1[[#This Row],[Winkel]]+Tabelle1[[#This Row],[Kröpfung]]+Tabelle1[[#This Row],[Däpfung]]+Tabelle1[[#This Row],[Bohrbild]]+Tabelle1[[#This Row],[Scharnierbefestigung]]=5,1,0)</f>
        <v>0</v>
      </c>
      <c r="J522" t="str">
        <f ca="1">Sprache!$A$53</f>
        <v>TIOMOS hinge T-Click-on</v>
      </c>
      <c r="K522" t="s">
        <v>403</v>
      </c>
      <c r="L522" t="str">
        <f ca="1">Sprache!$A$63</f>
        <v>TIOMOS Click-on hinges</v>
      </c>
      <c r="M522">
        <v>0</v>
      </c>
      <c r="N522" s="13" t="s">
        <v>14</v>
      </c>
      <c r="O522">
        <v>160</v>
      </c>
      <c r="P522">
        <v>0</v>
      </c>
      <c r="Q522">
        <v>1</v>
      </c>
      <c r="R522">
        <v>0</v>
      </c>
      <c r="S522">
        <v>1</v>
      </c>
      <c r="T522">
        <v>0</v>
      </c>
      <c r="U522">
        <v>0</v>
      </c>
      <c r="V522" s="14" t="s">
        <v>577</v>
      </c>
    </row>
    <row r="523" spans="1:22" ht="14.25" customHeight="1" x14ac:dyDescent="0.25">
      <c r="A523" s="48" t="str">
        <f>LEFT(Tabelle1[[#This Row],[Artikel'#]],4)</f>
        <v>F045</v>
      </c>
      <c r="B523" s="46" t="str">
        <f>MID(Tabelle1[[#This Row],[Artikel'#]],5,3)</f>
        <v>138</v>
      </c>
      <c r="C523" s="48" t="str">
        <f>RIGHT(Tabelle1[[#This Row],[Artikel'#]],3)</f>
        <v>682</v>
      </c>
      <c r="D523" s="46">
        <f>IF(Tabelle1[[#This Row],[Winkel2]]=select!$A$2,1,0)</f>
        <v>0</v>
      </c>
      <c r="E5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3" s="46">
        <f>IF(select!$E$16=IF(Tabelle1[[#This Row],[mit Dämpfung]]=1,1,IF(Tabelle1[[#This Row],[ohne Dämpfung]]=1,2,IF(Tabelle1[[#This Row],[ohne Feder]]=1,3,0))),1,0)</f>
        <v>0</v>
      </c>
      <c r="G523" s="46">
        <f>IF(Tabelle1[[#This Row],[Links]]=select!$I$2,1,0)</f>
        <v>0</v>
      </c>
      <c r="H523" s="46">
        <f>IF(IF(Tabelle1[[#This Row],[Anschrauben]]=1,1,IF(Tabelle1[[#This Row],[Einpressen]]=1,2,IF(Tabelle1[[#This Row],[Werkzeuglos]]=1,3,0)))=select!$E$7,1,0)</f>
        <v>0</v>
      </c>
      <c r="I523" s="46">
        <f ca="1">IF(Tabelle1[[#This Row],[Winkel]]+Tabelle1[[#This Row],[Kröpfung]]+Tabelle1[[#This Row],[Däpfung]]+Tabelle1[[#This Row],[Bohrbild]]+Tabelle1[[#This Row],[Scharnierbefestigung]]=5,1,0)</f>
        <v>0</v>
      </c>
      <c r="J523" t="str">
        <f ca="1">Sprache!$A$53</f>
        <v>TIOMOS hinge T-Click-on</v>
      </c>
      <c r="K523" t="s">
        <v>405</v>
      </c>
      <c r="L523" t="str">
        <f ca="1">Sprache!$A$63</f>
        <v>TIOMOS Click-on hinges</v>
      </c>
      <c r="M523">
        <v>3</v>
      </c>
      <c r="N523" t="s">
        <v>14</v>
      </c>
      <c r="O523">
        <v>160</v>
      </c>
      <c r="P523">
        <v>0</v>
      </c>
      <c r="Q523">
        <v>1</v>
      </c>
      <c r="R523">
        <v>0</v>
      </c>
      <c r="S523">
        <v>1</v>
      </c>
      <c r="T523">
        <v>0</v>
      </c>
      <c r="U523">
        <v>0</v>
      </c>
      <c r="V523" s="14" t="s">
        <v>578</v>
      </c>
    </row>
    <row r="524" spans="1:22" ht="14.25" customHeight="1" x14ac:dyDescent="0.25">
      <c r="A524" s="48" t="str">
        <f>LEFT(Tabelle1[[#This Row],[Artikel'#]],4)</f>
        <v>F045</v>
      </c>
      <c r="B524" s="46" t="str">
        <f>MID(Tabelle1[[#This Row],[Artikel'#]],5,3)</f>
        <v>138</v>
      </c>
      <c r="C524" s="48" t="str">
        <f>RIGHT(Tabelle1[[#This Row],[Artikel'#]],3)</f>
        <v>683</v>
      </c>
      <c r="D524" s="46">
        <f>IF(Tabelle1[[#This Row],[Winkel2]]=select!$A$2,1,0)</f>
        <v>0</v>
      </c>
      <c r="E5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24" s="46">
        <f>IF(select!$E$16=IF(Tabelle1[[#This Row],[mit Dämpfung]]=1,1,IF(Tabelle1[[#This Row],[ohne Dämpfung]]=1,2,IF(Tabelle1[[#This Row],[ohne Feder]]=1,3,0))),1,0)</f>
        <v>0</v>
      </c>
      <c r="G524" s="46">
        <f>IF(Tabelle1[[#This Row],[Links]]=select!$I$2,1,0)</f>
        <v>0</v>
      </c>
      <c r="H524" s="46">
        <f>IF(IF(Tabelle1[[#This Row],[Anschrauben]]=1,1,IF(Tabelle1[[#This Row],[Einpressen]]=1,2,IF(Tabelle1[[#This Row],[Werkzeuglos]]=1,3,0)))=select!$E$7,1,0)</f>
        <v>0</v>
      </c>
      <c r="I524" s="46">
        <f ca="1">IF(Tabelle1[[#This Row],[Winkel]]+Tabelle1[[#This Row],[Kröpfung]]+Tabelle1[[#This Row],[Däpfung]]+Tabelle1[[#This Row],[Bohrbild]]+Tabelle1[[#This Row],[Scharnierbefestigung]]=5,1,0)</f>
        <v>0</v>
      </c>
      <c r="J524" t="str">
        <f ca="1">Sprache!$A$53</f>
        <v>TIOMOS hinge T-Click-on</v>
      </c>
      <c r="K524" t="s">
        <v>407</v>
      </c>
      <c r="L524" t="str">
        <f ca="1">Sprache!$A$63</f>
        <v>TIOMOS Click-on hinges</v>
      </c>
      <c r="M524">
        <v>9.5</v>
      </c>
      <c r="N524" t="s">
        <v>14</v>
      </c>
      <c r="O524">
        <v>160</v>
      </c>
      <c r="P524">
        <v>0</v>
      </c>
      <c r="Q524">
        <v>1</v>
      </c>
      <c r="R524">
        <v>0</v>
      </c>
      <c r="S524">
        <v>1</v>
      </c>
      <c r="T524">
        <v>0</v>
      </c>
      <c r="U524">
        <v>0</v>
      </c>
      <c r="V524" s="14" t="s">
        <v>579</v>
      </c>
    </row>
    <row r="525" spans="1:22" ht="14.25" customHeight="1" x14ac:dyDescent="0.25">
      <c r="A525" s="48" t="str">
        <f>LEFT(Tabelle1[[#This Row],[Artikel'#]],4)</f>
        <v>F045</v>
      </c>
      <c r="B525" s="46" t="str">
        <f>MID(Tabelle1[[#This Row],[Artikel'#]],5,3)</f>
        <v>138</v>
      </c>
      <c r="C525" s="48" t="str">
        <f>RIGHT(Tabelle1[[#This Row],[Artikel'#]],3)</f>
        <v>684</v>
      </c>
      <c r="D525" s="46">
        <f>IF(Tabelle1[[#This Row],[Winkel2]]=select!$A$2,1,0)</f>
        <v>0</v>
      </c>
      <c r="E5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5" s="46">
        <f>IF(select!$E$16=IF(Tabelle1[[#This Row],[mit Dämpfung]]=1,1,IF(Tabelle1[[#This Row],[ohne Dämpfung]]=1,2,IF(Tabelle1[[#This Row],[ohne Feder]]=1,3,0))),1,0)</f>
        <v>0</v>
      </c>
      <c r="G525" s="46">
        <f>IF(Tabelle1[[#This Row],[Links]]=select!$I$2,1,0)</f>
        <v>0</v>
      </c>
      <c r="H525" s="46">
        <f>IF(IF(Tabelle1[[#This Row],[Anschrauben]]=1,1,IF(Tabelle1[[#This Row],[Einpressen]]=1,2,IF(Tabelle1[[#This Row],[Werkzeuglos]]=1,3,0)))=select!$E$7,1,0)</f>
        <v>1</v>
      </c>
      <c r="I525" s="46">
        <f ca="1">IF(Tabelle1[[#This Row],[Winkel]]+Tabelle1[[#This Row],[Kröpfung]]+Tabelle1[[#This Row],[Däpfung]]+Tabelle1[[#This Row],[Bohrbild]]+Tabelle1[[#This Row],[Scharnierbefestigung]]=5,1,0)</f>
        <v>0</v>
      </c>
      <c r="J525" t="str">
        <f ca="1">Sprache!$A$53</f>
        <v>TIOMOS hinge T-Click-on</v>
      </c>
      <c r="K525" t="str">
        <f ca="1">"160°, H-BB, K00, "&amp;Sprache!A59&amp;", ni"</f>
        <v>160°, H-BB, K00, Dowel, ni</v>
      </c>
      <c r="L525" t="str">
        <f ca="1">Sprache!$A$63</f>
        <v>TIOMOS Click-on hinges</v>
      </c>
      <c r="M525">
        <v>0</v>
      </c>
      <c r="N525" s="13" t="s">
        <v>14</v>
      </c>
      <c r="O525">
        <v>160</v>
      </c>
      <c r="P525">
        <v>0</v>
      </c>
      <c r="Q525">
        <v>1</v>
      </c>
      <c r="R525">
        <v>0</v>
      </c>
      <c r="S525">
        <v>0</v>
      </c>
      <c r="T525">
        <v>1</v>
      </c>
      <c r="U525">
        <v>0</v>
      </c>
      <c r="V525" s="14" t="s">
        <v>580</v>
      </c>
    </row>
    <row r="526" spans="1:22" ht="14.25" customHeight="1" x14ac:dyDescent="0.25">
      <c r="A526" s="48" t="str">
        <f>LEFT(Tabelle1[[#This Row],[Artikel'#]],4)</f>
        <v>F045</v>
      </c>
      <c r="B526" s="46" t="str">
        <f>MID(Tabelle1[[#This Row],[Artikel'#]],5,3)</f>
        <v>138</v>
      </c>
      <c r="C526" s="48" t="str">
        <f>RIGHT(Tabelle1[[#This Row],[Artikel'#]],3)</f>
        <v>685</v>
      </c>
      <c r="D526" s="46">
        <f>IF(Tabelle1[[#This Row],[Winkel2]]=select!$A$2,1,0)</f>
        <v>0</v>
      </c>
      <c r="E5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6" s="46">
        <f>IF(select!$E$16=IF(Tabelle1[[#This Row],[mit Dämpfung]]=1,1,IF(Tabelle1[[#This Row],[ohne Dämpfung]]=1,2,IF(Tabelle1[[#This Row],[ohne Feder]]=1,3,0))),1,0)</f>
        <v>0</v>
      </c>
      <c r="G526" s="46">
        <f>IF(Tabelle1[[#This Row],[Links]]=select!$I$2,1,0)</f>
        <v>0</v>
      </c>
      <c r="H526" s="46">
        <f>IF(IF(Tabelle1[[#This Row],[Anschrauben]]=1,1,IF(Tabelle1[[#This Row],[Einpressen]]=1,2,IF(Tabelle1[[#This Row],[Werkzeuglos]]=1,3,0)))=select!$E$7,1,0)</f>
        <v>1</v>
      </c>
      <c r="I526" s="46">
        <f ca="1">IF(Tabelle1[[#This Row],[Winkel]]+Tabelle1[[#This Row],[Kröpfung]]+Tabelle1[[#This Row],[Däpfung]]+Tabelle1[[#This Row],[Bohrbild]]+Tabelle1[[#This Row],[Scharnierbefestigung]]=5,1,0)</f>
        <v>0</v>
      </c>
      <c r="J526" t="str">
        <f ca="1">Sprache!$A$53</f>
        <v>TIOMOS hinge T-Click-on</v>
      </c>
      <c r="K526" t="str">
        <f ca="1">"160°, H-BB, K03, "&amp;Sprache!A59&amp;", ni"</f>
        <v>160°, H-BB, K03, Dowel, ni</v>
      </c>
      <c r="L526" t="str">
        <f ca="1">Sprache!$A$63</f>
        <v>TIOMOS Click-on hinges</v>
      </c>
      <c r="M526">
        <v>3</v>
      </c>
      <c r="N526" t="s">
        <v>14</v>
      </c>
      <c r="O526">
        <v>160</v>
      </c>
      <c r="P526">
        <v>0</v>
      </c>
      <c r="Q526">
        <v>1</v>
      </c>
      <c r="R526">
        <v>0</v>
      </c>
      <c r="S526">
        <v>0</v>
      </c>
      <c r="T526">
        <v>1</v>
      </c>
      <c r="U526">
        <v>0</v>
      </c>
      <c r="V526" s="14" t="s">
        <v>581</v>
      </c>
    </row>
    <row r="527" spans="1:22" ht="14.25" customHeight="1" x14ac:dyDescent="0.25">
      <c r="A527" s="48" t="str">
        <f>LEFT(Tabelle1[[#This Row],[Artikel'#]],4)</f>
        <v>F045</v>
      </c>
      <c r="B527" s="46" t="str">
        <f>MID(Tabelle1[[#This Row],[Artikel'#]],5,3)</f>
        <v>138</v>
      </c>
      <c r="C527" s="48" t="str">
        <f>RIGHT(Tabelle1[[#This Row],[Artikel'#]],3)</f>
        <v>686</v>
      </c>
      <c r="D527" s="46">
        <f>IF(Tabelle1[[#This Row],[Winkel2]]=select!$A$2,1,0)</f>
        <v>0</v>
      </c>
      <c r="E5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27" s="46">
        <f>IF(select!$E$16=IF(Tabelle1[[#This Row],[mit Dämpfung]]=1,1,IF(Tabelle1[[#This Row],[ohne Dämpfung]]=1,2,IF(Tabelle1[[#This Row],[ohne Feder]]=1,3,0))),1,0)</f>
        <v>0</v>
      </c>
      <c r="G527" s="46">
        <f>IF(Tabelle1[[#This Row],[Links]]=select!$I$2,1,0)</f>
        <v>0</v>
      </c>
      <c r="H527" s="46">
        <f>IF(IF(Tabelle1[[#This Row],[Anschrauben]]=1,1,IF(Tabelle1[[#This Row],[Einpressen]]=1,2,IF(Tabelle1[[#This Row],[Werkzeuglos]]=1,3,0)))=select!$E$7,1,0)</f>
        <v>1</v>
      </c>
      <c r="I527" s="46">
        <f ca="1">IF(Tabelle1[[#This Row],[Winkel]]+Tabelle1[[#This Row],[Kröpfung]]+Tabelle1[[#This Row],[Däpfung]]+Tabelle1[[#This Row],[Bohrbild]]+Tabelle1[[#This Row],[Scharnierbefestigung]]=5,1,0)</f>
        <v>0</v>
      </c>
      <c r="J527" t="str">
        <f ca="1">Sprache!$A$53</f>
        <v>TIOMOS hinge T-Click-on</v>
      </c>
      <c r="K527" t="str">
        <f ca="1">"160°, H-BB, K95, "&amp;Sprache!A59&amp;", ni"</f>
        <v>160°, H-BB, K95, Dowel, ni</v>
      </c>
      <c r="L527" t="str">
        <f ca="1">Sprache!$A$63</f>
        <v>TIOMOS Click-on hinges</v>
      </c>
      <c r="M527">
        <v>9.5</v>
      </c>
      <c r="N527" t="s">
        <v>14</v>
      </c>
      <c r="O527">
        <v>160</v>
      </c>
      <c r="P527">
        <v>0</v>
      </c>
      <c r="Q527">
        <v>1</v>
      </c>
      <c r="R527">
        <v>0</v>
      </c>
      <c r="S527">
        <v>0</v>
      </c>
      <c r="T527">
        <v>1</v>
      </c>
      <c r="U527">
        <v>0</v>
      </c>
      <c r="V527" s="14" t="s">
        <v>582</v>
      </c>
    </row>
    <row r="528" spans="1:22" ht="14.25" customHeight="1" x14ac:dyDescent="0.25">
      <c r="A528" s="48" t="str">
        <f>LEFT(Tabelle1[[#This Row],[Artikel'#]],4)</f>
        <v>F045</v>
      </c>
      <c r="B528" s="46" t="str">
        <f>MID(Tabelle1[[#This Row],[Artikel'#]],5,3)</f>
        <v>138</v>
      </c>
      <c r="C528" s="48" t="str">
        <f>RIGHT(Tabelle1[[#This Row],[Artikel'#]],3)</f>
        <v>687</v>
      </c>
      <c r="D528" s="46">
        <f>IF(Tabelle1[[#This Row],[Winkel2]]=select!$A$2,1,0)</f>
        <v>0</v>
      </c>
      <c r="E5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8" s="46">
        <f>IF(select!$E$16=IF(Tabelle1[[#This Row],[mit Dämpfung]]=1,1,IF(Tabelle1[[#This Row],[ohne Dämpfung]]=1,2,IF(Tabelle1[[#This Row],[ohne Feder]]=1,3,0))),1,0)</f>
        <v>0</v>
      </c>
      <c r="G528" s="46">
        <f>IF(Tabelle1[[#This Row],[Links]]=select!$I$2,1,0)</f>
        <v>0</v>
      </c>
      <c r="H528" s="46">
        <f>IF(IF(Tabelle1[[#This Row],[Anschrauben]]=1,1,IF(Tabelle1[[#This Row],[Einpressen]]=1,2,IF(Tabelle1[[#This Row],[Werkzeuglos]]=1,3,0)))=select!$E$7,1,0)</f>
        <v>0</v>
      </c>
      <c r="I528" s="46">
        <f ca="1">IF(Tabelle1[[#This Row],[Winkel]]+Tabelle1[[#This Row],[Kröpfung]]+Tabelle1[[#This Row],[Däpfung]]+Tabelle1[[#This Row],[Bohrbild]]+Tabelle1[[#This Row],[Scharnierbefestigung]]=5,1,0)</f>
        <v>0</v>
      </c>
      <c r="J528" t="str">
        <f ca="1">Sprache!$A$53</f>
        <v>TIOMOS hinge T-Click-on</v>
      </c>
      <c r="K528" t="s">
        <v>412</v>
      </c>
      <c r="L528" t="str">
        <f ca="1">Sprache!$A$63</f>
        <v>TIOMOS Click-on hinges</v>
      </c>
      <c r="M528">
        <v>0</v>
      </c>
      <c r="N528" t="s">
        <v>14</v>
      </c>
      <c r="O528">
        <v>95</v>
      </c>
      <c r="P528">
        <v>0</v>
      </c>
      <c r="Q528">
        <v>1</v>
      </c>
      <c r="R528">
        <v>0</v>
      </c>
      <c r="S528">
        <v>1</v>
      </c>
      <c r="T528">
        <v>0</v>
      </c>
      <c r="U528">
        <v>0</v>
      </c>
      <c r="V528" s="14" t="s">
        <v>583</v>
      </c>
    </row>
    <row r="529" spans="1:22" ht="14.25" customHeight="1" x14ac:dyDescent="0.25">
      <c r="A529" s="48" t="str">
        <f>LEFT(Tabelle1[[#This Row],[Artikel'#]],4)</f>
        <v>F045</v>
      </c>
      <c r="B529" s="46" t="str">
        <f>MID(Tabelle1[[#This Row],[Artikel'#]],5,3)</f>
        <v>138</v>
      </c>
      <c r="C529" s="48" t="str">
        <f>RIGHT(Tabelle1[[#This Row],[Artikel'#]],3)</f>
        <v>688</v>
      </c>
      <c r="D529" s="46">
        <f>IF(Tabelle1[[#This Row],[Winkel2]]=select!$A$2,1,0)</f>
        <v>0</v>
      </c>
      <c r="E5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29" s="46">
        <f>IF(select!$E$16=IF(Tabelle1[[#This Row],[mit Dämpfung]]=1,1,IF(Tabelle1[[#This Row],[ohne Dämpfung]]=1,2,IF(Tabelle1[[#This Row],[ohne Feder]]=1,3,0))),1,0)</f>
        <v>0</v>
      </c>
      <c r="G529" s="46">
        <f>IF(Tabelle1[[#This Row],[Links]]=select!$I$2,1,0)</f>
        <v>0</v>
      </c>
      <c r="H529" s="46">
        <f>IF(IF(Tabelle1[[#This Row],[Anschrauben]]=1,1,IF(Tabelle1[[#This Row],[Einpressen]]=1,2,IF(Tabelle1[[#This Row],[Werkzeuglos]]=1,3,0)))=select!$E$7,1,0)</f>
        <v>0</v>
      </c>
      <c r="I529" s="46">
        <f ca="1">IF(Tabelle1[[#This Row],[Winkel]]+Tabelle1[[#This Row],[Kröpfung]]+Tabelle1[[#This Row],[Däpfung]]+Tabelle1[[#This Row],[Bohrbild]]+Tabelle1[[#This Row],[Scharnierbefestigung]]=5,1,0)</f>
        <v>0</v>
      </c>
      <c r="J529" t="str">
        <f ca="1">Sprache!$A$53</f>
        <v>TIOMOS hinge T-Click-on</v>
      </c>
      <c r="K529" t="s">
        <v>414</v>
      </c>
      <c r="L529" t="str">
        <f ca="1">Sprache!$A$63</f>
        <v>TIOMOS Click-on hinges</v>
      </c>
      <c r="M529">
        <v>3</v>
      </c>
      <c r="N529" t="s">
        <v>14</v>
      </c>
      <c r="O529">
        <v>95</v>
      </c>
      <c r="P529">
        <v>0</v>
      </c>
      <c r="Q529">
        <v>1</v>
      </c>
      <c r="R529">
        <v>0</v>
      </c>
      <c r="S529">
        <v>1</v>
      </c>
      <c r="T529">
        <v>0</v>
      </c>
      <c r="U529">
        <v>0</v>
      </c>
      <c r="V529" s="14" t="s">
        <v>584</v>
      </c>
    </row>
    <row r="530" spans="1:22" ht="14.25" customHeight="1" x14ac:dyDescent="0.25">
      <c r="A530" s="48" t="str">
        <f>LEFT(Tabelle1[[#This Row],[Artikel'#]],4)</f>
        <v>F045</v>
      </c>
      <c r="B530" s="46" t="str">
        <f>MID(Tabelle1[[#This Row],[Artikel'#]],5,3)</f>
        <v>138</v>
      </c>
      <c r="C530" s="48" t="str">
        <f>RIGHT(Tabelle1[[#This Row],[Artikel'#]],3)</f>
        <v>689</v>
      </c>
      <c r="D530" s="46">
        <f>IF(Tabelle1[[#This Row],[Winkel2]]=select!$A$2,1,0)</f>
        <v>0</v>
      </c>
      <c r="E5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30" s="46">
        <f>IF(select!$E$16=IF(Tabelle1[[#This Row],[mit Dämpfung]]=1,1,IF(Tabelle1[[#This Row],[ohne Dämpfung]]=1,2,IF(Tabelle1[[#This Row],[ohne Feder]]=1,3,0))),1,0)</f>
        <v>0</v>
      </c>
      <c r="G530" s="46">
        <f>IF(Tabelle1[[#This Row],[Links]]=select!$I$2,1,0)</f>
        <v>0</v>
      </c>
      <c r="H530" s="46">
        <f>IF(IF(Tabelle1[[#This Row],[Anschrauben]]=1,1,IF(Tabelle1[[#This Row],[Einpressen]]=1,2,IF(Tabelle1[[#This Row],[Werkzeuglos]]=1,3,0)))=select!$E$7,1,0)</f>
        <v>0</v>
      </c>
      <c r="I530" s="46">
        <f ca="1">IF(Tabelle1[[#This Row],[Winkel]]+Tabelle1[[#This Row],[Kröpfung]]+Tabelle1[[#This Row],[Däpfung]]+Tabelle1[[#This Row],[Bohrbild]]+Tabelle1[[#This Row],[Scharnierbefestigung]]=5,1,0)</f>
        <v>0</v>
      </c>
      <c r="J530" t="str">
        <f ca="1">Sprache!$A$53</f>
        <v>TIOMOS hinge T-Click-on</v>
      </c>
      <c r="K530" t="s">
        <v>416</v>
      </c>
      <c r="L530" t="str">
        <f ca="1">Sprache!$A$63</f>
        <v>TIOMOS Click-on hinges</v>
      </c>
      <c r="M530">
        <v>9.5</v>
      </c>
      <c r="N530" t="s">
        <v>14</v>
      </c>
      <c r="O530">
        <v>95</v>
      </c>
      <c r="P530">
        <v>0</v>
      </c>
      <c r="Q530">
        <v>1</v>
      </c>
      <c r="R530">
        <v>0</v>
      </c>
      <c r="S530">
        <v>1</v>
      </c>
      <c r="T530">
        <v>0</v>
      </c>
      <c r="U530">
        <v>0</v>
      </c>
      <c r="V530" s="14" t="s">
        <v>585</v>
      </c>
    </row>
    <row r="531" spans="1:22" ht="14.25" customHeight="1" x14ac:dyDescent="0.25">
      <c r="A531" s="48" t="str">
        <f>LEFT(Tabelle1[[#This Row],[Artikel'#]],4)</f>
        <v>F045</v>
      </c>
      <c r="B531" s="46" t="str">
        <f>MID(Tabelle1[[#This Row],[Artikel'#]],5,3)</f>
        <v>138</v>
      </c>
      <c r="C531" s="48" t="str">
        <f>RIGHT(Tabelle1[[#This Row],[Artikel'#]],3)</f>
        <v>690</v>
      </c>
      <c r="D531" s="46">
        <f>IF(Tabelle1[[#This Row],[Winkel2]]=select!$A$2,1,0)</f>
        <v>0</v>
      </c>
      <c r="E5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1" s="46">
        <f>IF(select!$E$16=IF(Tabelle1[[#This Row],[mit Dämpfung]]=1,1,IF(Tabelle1[[#This Row],[ohne Dämpfung]]=1,2,IF(Tabelle1[[#This Row],[ohne Feder]]=1,3,0))),1,0)</f>
        <v>0</v>
      </c>
      <c r="G531" s="46">
        <f>IF(Tabelle1[[#This Row],[Links]]=select!$I$2,1,0)</f>
        <v>0</v>
      </c>
      <c r="H531" s="46">
        <f>IF(IF(Tabelle1[[#This Row],[Anschrauben]]=1,1,IF(Tabelle1[[#This Row],[Einpressen]]=1,2,IF(Tabelle1[[#This Row],[Werkzeuglos]]=1,3,0)))=select!$E$7,1,0)</f>
        <v>0</v>
      </c>
      <c r="I531" s="46">
        <f ca="1">IF(Tabelle1[[#This Row],[Winkel]]+Tabelle1[[#This Row],[Kröpfung]]+Tabelle1[[#This Row],[Däpfung]]+Tabelle1[[#This Row],[Bohrbild]]+Tabelle1[[#This Row],[Scharnierbefestigung]]=5,1,0)</f>
        <v>0</v>
      </c>
      <c r="J531" t="str">
        <f ca="1">Sprache!$A$53</f>
        <v>TIOMOS hinge T-Click-on</v>
      </c>
      <c r="K531" t="s">
        <v>418</v>
      </c>
      <c r="L531" t="str">
        <f ca="1">Sprache!$A$63</f>
        <v>TIOMOS Click-on hinges</v>
      </c>
      <c r="M531">
        <v>19</v>
      </c>
      <c r="N531" t="s">
        <v>14</v>
      </c>
      <c r="O531">
        <v>95</v>
      </c>
      <c r="P531">
        <v>0</v>
      </c>
      <c r="Q531">
        <v>1</v>
      </c>
      <c r="R531">
        <v>0</v>
      </c>
      <c r="S531">
        <v>1</v>
      </c>
      <c r="T531">
        <v>0</v>
      </c>
      <c r="U531">
        <v>0</v>
      </c>
      <c r="V531" s="14" t="s">
        <v>586</v>
      </c>
    </row>
    <row r="532" spans="1:22" ht="14.25" customHeight="1" x14ac:dyDescent="0.25">
      <c r="A532" s="48" t="str">
        <f>LEFT(Tabelle1[[#This Row],[Artikel'#]],4)</f>
        <v>F045</v>
      </c>
      <c r="B532" s="46" t="str">
        <f>MID(Tabelle1[[#This Row],[Artikel'#]],5,3)</f>
        <v>138</v>
      </c>
      <c r="C532" s="48" t="str">
        <f>RIGHT(Tabelle1[[#This Row],[Artikel'#]],3)</f>
        <v>691</v>
      </c>
      <c r="D532" s="46">
        <f>IF(Tabelle1[[#This Row],[Winkel2]]=select!$A$2,1,0)</f>
        <v>0</v>
      </c>
      <c r="E5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2" s="46">
        <f>IF(select!$E$16=IF(Tabelle1[[#This Row],[mit Dämpfung]]=1,1,IF(Tabelle1[[#This Row],[ohne Dämpfung]]=1,2,IF(Tabelle1[[#This Row],[ohne Feder]]=1,3,0))),1,0)</f>
        <v>0</v>
      </c>
      <c r="G532" s="46">
        <f>IF(Tabelle1[[#This Row],[Links]]=select!$I$2,1,0)</f>
        <v>0</v>
      </c>
      <c r="H532" s="46">
        <f>IF(IF(Tabelle1[[#This Row],[Anschrauben]]=1,1,IF(Tabelle1[[#This Row],[Einpressen]]=1,2,IF(Tabelle1[[#This Row],[Werkzeuglos]]=1,3,0)))=select!$E$7,1,0)</f>
        <v>1</v>
      </c>
      <c r="I532" s="46">
        <f ca="1">IF(Tabelle1[[#This Row],[Winkel]]+Tabelle1[[#This Row],[Kröpfung]]+Tabelle1[[#This Row],[Däpfung]]+Tabelle1[[#This Row],[Bohrbild]]+Tabelle1[[#This Row],[Scharnierbefestigung]]=5,1,0)</f>
        <v>0</v>
      </c>
      <c r="J532" t="str">
        <f ca="1">Sprache!$A$53</f>
        <v>TIOMOS hinge T-Click-on</v>
      </c>
      <c r="K532" t="str">
        <f ca="1">"95°, H-BB, K00, "&amp;Sprache!A59&amp;", ni"</f>
        <v>95°, H-BB, K00, Dowel, ni</v>
      </c>
      <c r="L532" t="str">
        <f ca="1">Sprache!$A$63</f>
        <v>TIOMOS Click-on hinges</v>
      </c>
      <c r="M532">
        <v>0</v>
      </c>
      <c r="N532" t="s">
        <v>14</v>
      </c>
      <c r="O532">
        <v>95</v>
      </c>
      <c r="P532">
        <v>0</v>
      </c>
      <c r="Q532">
        <v>1</v>
      </c>
      <c r="R532">
        <v>0</v>
      </c>
      <c r="S532">
        <v>0</v>
      </c>
      <c r="T532">
        <v>1</v>
      </c>
      <c r="U532">
        <v>0</v>
      </c>
      <c r="V532" s="14" t="s">
        <v>587</v>
      </c>
    </row>
    <row r="533" spans="1:22" ht="14.25" customHeight="1" x14ac:dyDescent="0.25">
      <c r="A533" s="48" t="str">
        <f>LEFT(Tabelle1[[#This Row],[Artikel'#]],4)</f>
        <v>F045</v>
      </c>
      <c r="B533" s="46" t="str">
        <f>MID(Tabelle1[[#This Row],[Artikel'#]],5,3)</f>
        <v>138</v>
      </c>
      <c r="C533" s="48" t="str">
        <f>RIGHT(Tabelle1[[#This Row],[Artikel'#]],3)</f>
        <v>692</v>
      </c>
      <c r="D533" s="46">
        <f>IF(Tabelle1[[#This Row],[Winkel2]]=select!$A$2,1,0)</f>
        <v>0</v>
      </c>
      <c r="E5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3" s="46">
        <f>IF(select!$E$16=IF(Tabelle1[[#This Row],[mit Dämpfung]]=1,1,IF(Tabelle1[[#This Row],[ohne Dämpfung]]=1,2,IF(Tabelle1[[#This Row],[ohne Feder]]=1,3,0))),1,0)</f>
        <v>0</v>
      </c>
      <c r="G533" s="46">
        <f>IF(Tabelle1[[#This Row],[Links]]=select!$I$2,1,0)</f>
        <v>0</v>
      </c>
      <c r="H533" s="46">
        <f>IF(IF(Tabelle1[[#This Row],[Anschrauben]]=1,1,IF(Tabelle1[[#This Row],[Einpressen]]=1,2,IF(Tabelle1[[#This Row],[Werkzeuglos]]=1,3,0)))=select!$E$7,1,0)</f>
        <v>1</v>
      </c>
      <c r="I533" s="46">
        <f ca="1">IF(Tabelle1[[#This Row],[Winkel]]+Tabelle1[[#This Row],[Kröpfung]]+Tabelle1[[#This Row],[Däpfung]]+Tabelle1[[#This Row],[Bohrbild]]+Tabelle1[[#This Row],[Scharnierbefestigung]]=5,1,0)</f>
        <v>0</v>
      </c>
      <c r="J533" t="str">
        <f ca="1">Sprache!$A$53</f>
        <v>TIOMOS hinge T-Click-on</v>
      </c>
      <c r="K533" t="str">
        <f ca="1">"95°, H-BB, K03, "&amp;Sprache!A59&amp;", ni"</f>
        <v>95°, H-BB, K03, Dowel, ni</v>
      </c>
      <c r="L533" t="str">
        <f ca="1">Sprache!$A$63</f>
        <v>TIOMOS Click-on hinges</v>
      </c>
      <c r="M533">
        <v>3</v>
      </c>
      <c r="N533" t="s">
        <v>14</v>
      </c>
      <c r="O533">
        <v>95</v>
      </c>
      <c r="P533">
        <v>0</v>
      </c>
      <c r="Q533">
        <v>1</v>
      </c>
      <c r="R533">
        <v>0</v>
      </c>
      <c r="S533">
        <v>0</v>
      </c>
      <c r="T533">
        <v>1</v>
      </c>
      <c r="U533">
        <v>0</v>
      </c>
      <c r="V533" s="14" t="s">
        <v>588</v>
      </c>
    </row>
    <row r="534" spans="1:22" ht="14.25" customHeight="1" x14ac:dyDescent="0.25">
      <c r="A534" s="48" t="str">
        <f>LEFT(Tabelle1[[#This Row],[Artikel'#]],4)</f>
        <v>F045</v>
      </c>
      <c r="B534" s="46" t="str">
        <f>MID(Tabelle1[[#This Row],[Artikel'#]],5,3)</f>
        <v>138</v>
      </c>
      <c r="C534" s="48" t="str">
        <f>RIGHT(Tabelle1[[#This Row],[Artikel'#]],3)</f>
        <v>693</v>
      </c>
      <c r="D534" s="46">
        <f>IF(Tabelle1[[#This Row],[Winkel2]]=select!$A$2,1,0)</f>
        <v>0</v>
      </c>
      <c r="E5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34" s="46">
        <f>IF(select!$E$16=IF(Tabelle1[[#This Row],[mit Dämpfung]]=1,1,IF(Tabelle1[[#This Row],[ohne Dämpfung]]=1,2,IF(Tabelle1[[#This Row],[ohne Feder]]=1,3,0))),1,0)</f>
        <v>0</v>
      </c>
      <c r="G534" s="46">
        <f>IF(Tabelle1[[#This Row],[Links]]=select!$I$2,1,0)</f>
        <v>0</v>
      </c>
      <c r="H534" s="46">
        <f>IF(IF(Tabelle1[[#This Row],[Anschrauben]]=1,1,IF(Tabelle1[[#This Row],[Einpressen]]=1,2,IF(Tabelle1[[#This Row],[Werkzeuglos]]=1,3,0)))=select!$E$7,1,0)</f>
        <v>1</v>
      </c>
      <c r="I534" s="46">
        <f ca="1">IF(Tabelle1[[#This Row],[Winkel]]+Tabelle1[[#This Row],[Kröpfung]]+Tabelle1[[#This Row],[Däpfung]]+Tabelle1[[#This Row],[Bohrbild]]+Tabelle1[[#This Row],[Scharnierbefestigung]]=5,1,0)</f>
        <v>0</v>
      </c>
      <c r="J534" t="str">
        <f ca="1">Sprache!$A$53</f>
        <v>TIOMOS hinge T-Click-on</v>
      </c>
      <c r="K534" t="str">
        <f ca="1">"95°, H-BB, K95, "&amp;Sprache!A59&amp;", ni"</f>
        <v>95°, H-BB, K95, Dowel, ni</v>
      </c>
      <c r="L534" t="str">
        <f ca="1">Sprache!$A$63</f>
        <v>TIOMOS Click-on hinges</v>
      </c>
      <c r="M534">
        <v>9.5</v>
      </c>
      <c r="N534" t="s">
        <v>14</v>
      </c>
      <c r="O534">
        <v>95</v>
      </c>
      <c r="P534">
        <v>0</v>
      </c>
      <c r="Q534">
        <v>1</v>
      </c>
      <c r="R534">
        <v>0</v>
      </c>
      <c r="S534">
        <v>0</v>
      </c>
      <c r="T534">
        <v>1</v>
      </c>
      <c r="U534">
        <v>0</v>
      </c>
      <c r="V534" s="14" t="s">
        <v>589</v>
      </c>
    </row>
    <row r="535" spans="1:22" ht="14.25" customHeight="1" x14ac:dyDescent="0.25">
      <c r="A535" s="48" t="str">
        <f>LEFT(Tabelle1[[#This Row],[Artikel'#]],4)</f>
        <v>F045</v>
      </c>
      <c r="B535" s="46" t="str">
        <f>MID(Tabelle1[[#This Row],[Artikel'#]],5,3)</f>
        <v>138</v>
      </c>
      <c r="C535" s="48" t="str">
        <f>RIGHT(Tabelle1[[#This Row],[Artikel'#]],3)</f>
        <v>694</v>
      </c>
      <c r="D535" s="46">
        <f>IF(Tabelle1[[#This Row],[Winkel2]]=select!$A$2,1,0)</f>
        <v>0</v>
      </c>
      <c r="E5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5" s="46">
        <f>IF(select!$E$16=IF(Tabelle1[[#This Row],[mit Dämpfung]]=1,1,IF(Tabelle1[[#This Row],[ohne Dämpfung]]=1,2,IF(Tabelle1[[#This Row],[ohne Feder]]=1,3,0))),1,0)</f>
        <v>0</v>
      </c>
      <c r="G535" s="46">
        <f>IF(Tabelle1[[#This Row],[Links]]=select!$I$2,1,0)</f>
        <v>0</v>
      </c>
      <c r="H535" s="46">
        <f>IF(IF(Tabelle1[[#This Row],[Anschrauben]]=1,1,IF(Tabelle1[[#This Row],[Einpressen]]=1,2,IF(Tabelle1[[#This Row],[Werkzeuglos]]=1,3,0)))=select!$E$7,1,0)</f>
        <v>1</v>
      </c>
      <c r="I535" s="46">
        <f ca="1">IF(Tabelle1[[#This Row],[Winkel]]+Tabelle1[[#This Row],[Kröpfung]]+Tabelle1[[#This Row],[Däpfung]]+Tabelle1[[#This Row],[Bohrbild]]+Tabelle1[[#This Row],[Scharnierbefestigung]]=5,1,0)</f>
        <v>0</v>
      </c>
      <c r="J535" t="str">
        <f ca="1">Sprache!$A$53</f>
        <v>TIOMOS hinge T-Click-on</v>
      </c>
      <c r="K535" t="str">
        <f ca="1">"95°, H-BB, K19, "&amp;Sprache!A59&amp;", ni"</f>
        <v>95°, H-BB, K19, Dowel, ni</v>
      </c>
      <c r="L535" t="str">
        <f ca="1">Sprache!$A$63</f>
        <v>TIOMOS Click-on hinges</v>
      </c>
      <c r="M535">
        <v>19</v>
      </c>
      <c r="N535" t="s">
        <v>14</v>
      </c>
      <c r="O535">
        <v>95</v>
      </c>
      <c r="P535">
        <v>0</v>
      </c>
      <c r="Q535">
        <v>1</v>
      </c>
      <c r="R535">
        <v>0</v>
      </c>
      <c r="S535">
        <v>0</v>
      </c>
      <c r="T535">
        <v>1</v>
      </c>
      <c r="U535">
        <v>0</v>
      </c>
      <c r="V535" s="14" t="s">
        <v>590</v>
      </c>
    </row>
    <row r="536" spans="1:22" ht="14.25" customHeight="1" x14ac:dyDescent="0.25">
      <c r="A536" s="48" t="str">
        <f>LEFT(Tabelle1[[#This Row],[Artikel'#]],4)</f>
        <v>F045</v>
      </c>
      <c r="B536" s="46" t="str">
        <f>MID(Tabelle1[[#This Row],[Artikel'#]],5,3)</f>
        <v>138</v>
      </c>
      <c r="C536" s="48" t="str">
        <f>RIGHT(Tabelle1[[#This Row],[Artikel'#]],3)</f>
        <v>821</v>
      </c>
      <c r="D536" s="46">
        <f>IF(Tabelle1[[#This Row],[Winkel2]]=select!$A$2,1,0)</f>
        <v>1</v>
      </c>
      <c r="E5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6" s="46">
        <f>IF(select!$E$16=IF(Tabelle1[[#This Row],[mit Dämpfung]]=1,1,IF(Tabelle1[[#This Row],[ohne Dämpfung]]=1,2,IF(Tabelle1[[#This Row],[ohne Feder]]=1,3,0))),1,0)</f>
        <v>0</v>
      </c>
      <c r="G536" s="46">
        <f>IF(Tabelle1[[#This Row],[Links]]=select!$I$2,1,0)</f>
        <v>0</v>
      </c>
      <c r="H536" s="46">
        <f>IF(IF(Tabelle1[[#This Row],[Anschrauben]]=1,1,IF(Tabelle1[[#This Row],[Einpressen]]=1,2,IF(Tabelle1[[#This Row],[Werkzeuglos]]=1,3,0)))=select!$E$7,1,0)</f>
        <v>0</v>
      </c>
      <c r="I536" s="46">
        <f ca="1">IF(Tabelle1[[#This Row],[Winkel]]+Tabelle1[[#This Row],[Kröpfung]]+Tabelle1[[#This Row],[Däpfung]]+Tabelle1[[#This Row],[Bohrbild]]+Tabelle1[[#This Row],[Scharnierbefestigung]]=5,1,0)</f>
        <v>0</v>
      </c>
      <c r="J536" t="str">
        <f ca="1">Sprache!$A$53</f>
        <v>TIOMOS hinge T-Click-on</v>
      </c>
      <c r="K536" t="s">
        <v>424</v>
      </c>
      <c r="L536" t="str">
        <f ca="1">Sprache!$A$63</f>
        <v>TIOMOS Click-on hinges</v>
      </c>
      <c r="M536">
        <v>0</v>
      </c>
      <c r="N536" t="s">
        <v>15</v>
      </c>
      <c r="O536">
        <v>110</v>
      </c>
      <c r="P536">
        <v>0</v>
      </c>
      <c r="Q536">
        <v>1</v>
      </c>
      <c r="R536">
        <v>0</v>
      </c>
      <c r="S536">
        <v>1</v>
      </c>
      <c r="T536">
        <v>0</v>
      </c>
      <c r="U536">
        <v>0</v>
      </c>
      <c r="V536" s="14" t="s">
        <v>591</v>
      </c>
    </row>
    <row r="537" spans="1:22" ht="14.25" customHeight="1" x14ac:dyDescent="0.25">
      <c r="A537" s="48" t="str">
        <f>LEFT(Tabelle1[[#This Row],[Artikel'#]],4)</f>
        <v>F045</v>
      </c>
      <c r="B537" s="46" t="str">
        <f>MID(Tabelle1[[#This Row],[Artikel'#]],5,3)</f>
        <v>138</v>
      </c>
      <c r="C537" s="48" t="str">
        <f>RIGHT(Tabelle1[[#This Row],[Artikel'#]],3)</f>
        <v>822</v>
      </c>
      <c r="D537" s="46">
        <f>IF(Tabelle1[[#This Row],[Winkel2]]=select!$A$2,1,0)</f>
        <v>1</v>
      </c>
      <c r="E5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7" s="46">
        <f>IF(select!$E$16=IF(Tabelle1[[#This Row],[mit Dämpfung]]=1,1,IF(Tabelle1[[#This Row],[ohne Dämpfung]]=1,2,IF(Tabelle1[[#This Row],[ohne Feder]]=1,3,0))),1,0)</f>
        <v>0</v>
      </c>
      <c r="G537" s="46">
        <f>IF(Tabelle1[[#This Row],[Links]]=select!$I$2,1,0)</f>
        <v>0</v>
      </c>
      <c r="H537" s="46">
        <f>IF(IF(Tabelle1[[#This Row],[Anschrauben]]=1,1,IF(Tabelle1[[#This Row],[Einpressen]]=1,2,IF(Tabelle1[[#This Row],[Werkzeuglos]]=1,3,0)))=select!$E$7,1,0)</f>
        <v>0</v>
      </c>
      <c r="I537" s="46">
        <f ca="1">IF(Tabelle1[[#This Row],[Winkel]]+Tabelle1[[#This Row],[Kröpfung]]+Tabelle1[[#This Row],[Däpfung]]+Tabelle1[[#This Row],[Bohrbild]]+Tabelle1[[#This Row],[Scharnierbefestigung]]=5,1,0)</f>
        <v>0</v>
      </c>
      <c r="J537" t="str">
        <f ca="1">Sprache!$A$53</f>
        <v>TIOMOS hinge T-Click-on</v>
      </c>
      <c r="K537" t="s">
        <v>426</v>
      </c>
      <c r="L537" t="str">
        <f ca="1">Sprache!$A$63</f>
        <v>TIOMOS Click-on hinges</v>
      </c>
      <c r="M537">
        <v>3</v>
      </c>
      <c r="N537" t="s">
        <v>15</v>
      </c>
      <c r="O537">
        <v>110</v>
      </c>
      <c r="P537">
        <v>0</v>
      </c>
      <c r="Q537">
        <v>1</v>
      </c>
      <c r="R537">
        <v>0</v>
      </c>
      <c r="S537">
        <v>1</v>
      </c>
      <c r="T537">
        <v>0</v>
      </c>
      <c r="U537">
        <v>0</v>
      </c>
      <c r="V537" s="14" t="s">
        <v>592</v>
      </c>
    </row>
    <row r="538" spans="1:22" ht="14.25" customHeight="1" x14ac:dyDescent="0.25">
      <c r="A538" s="48" t="str">
        <f>LEFT(Tabelle1[[#This Row],[Artikel'#]],4)</f>
        <v>F045</v>
      </c>
      <c r="B538" s="46" t="str">
        <f>MID(Tabelle1[[#This Row],[Artikel'#]],5,3)</f>
        <v>138</v>
      </c>
      <c r="C538" s="48" t="str">
        <f>RIGHT(Tabelle1[[#This Row],[Artikel'#]],3)</f>
        <v>823</v>
      </c>
      <c r="D538" s="46">
        <f>IF(Tabelle1[[#This Row],[Winkel2]]=select!$A$2,1,0)</f>
        <v>1</v>
      </c>
      <c r="E5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38" s="46">
        <f>IF(select!$E$16=IF(Tabelle1[[#This Row],[mit Dämpfung]]=1,1,IF(Tabelle1[[#This Row],[ohne Dämpfung]]=1,2,IF(Tabelle1[[#This Row],[ohne Feder]]=1,3,0))),1,0)</f>
        <v>0</v>
      </c>
      <c r="G538" s="46">
        <f>IF(Tabelle1[[#This Row],[Links]]=select!$I$2,1,0)</f>
        <v>0</v>
      </c>
      <c r="H538" s="46">
        <f>IF(IF(Tabelle1[[#This Row],[Anschrauben]]=1,1,IF(Tabelle1[[#This Row],[Einpressen]]=1,2,IF(Tabelle1[[#This Row],[Werkzeuglos]]=1,3,0)))=select!$E$7,1,0)</f>
        <v>0</v>
      </c>
      <c r="I538" s="46">
        <f ca="1">IF(Tabelle1[[#This Row],[Winkel]]+Tabelle1[[#This Row],[Kröpfung]]+Tabelle1[[#This Row],[Däpfung]]+Tabelle1[[#This Row],[Bohrbild]]+Tabelle1[[#This Row],[Scharnierbefestigung]]=5,1,0)</f>
        <v>0</v>
      </c>
      <c r="J538" t="str">
        <f ca="1">Sprache!$A$53</f>
        <v>TIOMOS hinge T-Click-on</v>
      </c>
      <c r="K538" t="s">
        <v>428</v>
      </c>
      <c r="L538" t="str">
        <f ca="1">Sprache!$A$63</f>
        <v>TIOMOS Click-on hinges</v>
      </c>
      <c r="M538">
        <v>9.5</v>
      </c>
      <c r="N538" t="s">
        <v>15</v>
      </c>
      <c r="O538">
        <v>110</v>
      </c>
      <c r="P538">
        <v>0</v>
      </c>
      <c r="Q538">
        <v>1</v>
      </c>
      <c r="R538">
        <v>0</v>
      </c>
      <c r="S538">
        <v>1</v>
      </c>
      <c r="T538">
        <v>0</v>
      </c>
      <c r="U538">
        <v>0</v>
      </c>
      <c r="V538" s="14" t="s">
        <v>593</v>
      </c>
    </row>
    <row r="539" spans="1:22" ht="14.25" customHeight="1" x14ac:dyDescent="0.25">
      <c r="A539" s="48" t="str">
        <f>LEFT(Tabelle1[[#This Row],[Artikel'#]],4)</f>
        <v>F045</v>
      </c>
      <c r="B539" s="46" t="str">
        <f>MID(Tabelle1[[#This Row],[Artikel'#]],5,3)</f>
        <v>138</v>
      </c>
      <c r="C539" s="48" t="str">
        <f>RIGHT(Tabelle1[[#This Row],[Artikel'#]],3)</f>
        <v>824</v>
      </c>
      <c r="D539" s="46">
        <f>IF(Tabelle1[[#This Row],[Winkel2]]=select!$A$2,1,0)</f>
        <v>1</v>
      </c>
      <c r="E5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39" s="46">
        <f>IF(select!$E$16=IF(Tabelle1[[#This Row],[mit Dämpfung]]=1,1,IF(Tabelle1[[#This Row],[ohne Dämpfung]]=1,2,IF(Tabelle1[[#This Row],[ohne Feder]]=1,3,0))),1,0)</f>
        <v>0</v>
      </c>
      <c r="G539" s="46">
        <f>IF(Tabelle1[[#This Row],[Links]]=select!$I$2,1,0)</f>
        <v>0</v>
      </c>
      <c r="H539" s="46">
        <f>IF(IF(Tabelle1[[#This Row],[Anschrauben]]=1,1,IF(Tabelle1[[#This Row],[Einpressen]]=1,2,IF(Tabelle1[[#This Row],[Werkzeuglos]]=1,3,0)))=select!$E$7,1,0)</f>
        <v>0</v>
      </c>
      <c r="I539" s="46">
        <f ca="1">IF(Tabelle1[[#This Row],[Winkel]]+Tabelle1[[#This Row],[Kröpfung]]+Tabelle1[[#This Row],[Däpfung]]+Tabelle1[[#This Row],[Bohrbild]]+Tabelle1[[#This Row],[Scharnierbefestigung]]=5,1,0)</f>
        <v>0</v>
      </c>
      <c r="J539" t="str">
        <f ca="1">Sprache!$A$53</f>
        <v>TIOMOS hinge T-Click-on</v>
      </c>
      <c r="K539" t="s">
        <v>430</v>
      </c>
      <c r="L539" t="str">
        <f ca="1">Sprache!$A$63</f>
        <v>TIOMOS Click-on hinges</v>
      </c>
      <c r="M539">
        <v>19</v>
      </c>
      <c r="N539" t="s">
        <v>15</v>
      </c>
      <c r="O539">
        <v>110</v>
      </c>
      <c r="P539">
        <v>0</v>
      </c>
      <c r="Q539">
        <v>1</v>
      </c>
      <c r="R539">
        <v>0</v>
      </c>
      <c r="S539">
        <v>1</v>
      </c>
      <c r="T539">
        <v>0</v>
      </c>
      <c r="U539">
        <v>0</v>
      </c>
      <c r="V539" s="14" t="s">
        <v>594</v>
      </c>
    </row>
    <row r="540" spans="1:22" ht="14.25" customHeight="1" x14ac:dyDescent="0.25">
      <c r="A540" s="48" t="str">
        <f>LEFT(Tabelle1[[#This Row],[Artikel'#]],4)</f>
        <v>F045</v>
      </c>
      <c r="B540" s="46" t="str">
        <f>MID(Tabelle1[[#This Row],[Artikel'#]],5,3)</f>
        <v>138</v>
      </c>
      <c r="C540" s="48" t="str">
        <f>RIGHT(Tabelle1[[#This Row],[Artikel'#]],3)</f>
        <v>825</v>
      </c>
      <c r="D540" s="46">
        <f>IF(Tabelle1[[#This Row],[Winkel2]]=select!$A$2,1,0)</f>
        <v>1</v>
      </c>
      <c r="E5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0" s="46">
        <f>IF(select!$E$16=IF(Tabelle1[[#This Row],[mit Dämpfung]]=1,1,IF(Tabelle1[[#This Row],[ohne Dämpfung]]=1,2,IF(Tabelle1[[#This Row],[ohne Feder]]=1,3,0))),1,0)</f>
        <v>0</v>
      </c>
      <c r="G540" s="46">
        <f>IF(Tabelle1[[#This Row],[Links]]=select!$I$2,1,0)</f>
        <v>0</v>
      </c>
      <c r="H540" s="46">
        <f>IF(IF(Tabelle1[[#This Row],[Anschrauben]]=1,1,IF(Tabelle1[[#This Row],[Einpressen]]=1,2,IF(Tabelle1[[#This Row],[Werkzeuglos]]=1,3,0)))=select!$E$7,1,0)</f>
        <v>1</v>
      </c>
      <c r="I540" s="46">
        <f ca="1">IF(Tabelle1[[#This Row],[Winkel]]+Tabelle1[[#This Row],[Kröpfung]]+Tabelle1[[#This Row],[Däpfung]]+Tabelle1[[#This Row],[Bohrbild]]+Tabelle1[[#This Row],[Scharnierbefestigung]]=5,1,0)</f>
        <v>0</v>
      </c>
      <c r="J540" t="str">
        <f ca="1">Sprache!$A$53</f>
        <v>TIOMOS hinge T-Click-on</v>
      </c>
      <c r="K540" t="str">
        <f ca="1">"110°, S-BB, K00, "&amp;Sprache!A59&amp;", ni"</f>
        <v>110°, S-BB, K00, Dowel, ni</v>
      </c>
      <c r="L540" t="str">
        <f ca="1">Sprache!$A$63</f>
        <v>TIOMOS Click-on hinges</v>
      </c>
      <c r="M540">
        <v>0</v>
      </c>
      <c r="N540" t="s">
        <v>15</v>
      </c>
      <c r="O540">
        <v>110</v>
      </c>
      <c r="P540">
        <v>0</v>
      </c>
      <c r="Q540">
        <v>1</v>
      </c>
      <c r="R540">
        <v>0</v>
      </c>
      <c r="S540">
        <v>0</v>
      </c>
      <c r="T540">
        <v>1</v>
      </c>
      <c r="U540">
        <v>0</v>
      </c>
      <c r="V540" s="14" t="s">
        <v>595</v>
      </c>
    </row>
    <row r="541" spans="1:22" ht="14.25" customHeight="1" x14ac:dyDescent="0.25">
      <c r="A541" s="48" t="str">
        <f>LEFT(Tabelle1[[#This Row],[Artikel'#]],4)</f>
        <v>F045</v>
      </c>
      <c r="B541" s="46" t="str">
        <f>MID(Tabelle1[[#This Row],[Artikel'#]],5,3)</f>
        <v>138</v>
      </c>
      <c r="C541" s="48" t="str">
        <f>RIGHT(Tabelle1[[#This Row],[Artikel'#]],3)</f>
        <v>826</v>
      </c>
      <c r="D541" s="46">
        <f>IF(Tabelle1[[#This Row],[Winkel2]]=select!$A$2,1,0)</f>
        <v>1</v>
      </c>
      <c r="E5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1" s="46">
        <f>IF(select!$E$16=IF(Tabelle1[[#This Row],[mit Dämpfung]]=1,1,IF(Tabelle1[[#This Row],[ohne Dämpfung]]=1,2,IF(Tabelle1[[#This Row],[ohne Feder]]=1,3,0))),1,0)</f>
        <v>0</v>
      </c>
      <c r="G541" s="46">
        <f>IF(Tabelle1[[#This Row],[Links]]=select!$I$2,1,0)</f>
        <v>0</v>
      </c>
      <c r="H541" s="46">
        <f>IF(IF(Tabelle1[[#This Row],[Anschrauben]]=1,1,IF(Tabelle1[[#This Row],[Einpressen]]=1,2,IF(Tabelle1[[#This Row],[Werkzeuglos]]=1,3,0)))=select!$E$7,1,0)</f>
        <v>1</v>
      </c>
      <c r="I541" s="46">
        <f ca="1">IF(Tabelle1[[#This Row],[Winkel]]+Tabelle1[[#This Row],[Kröpfung]]+Tabelle1[[#This Row],[Däpfung]]+Tabelle1[[#This Row],[Bohrbild]]+Tabelle1[[#This Row],[Scharnierbefestigung]]=5,1,0)</f>
        <v>0</v>
      </c>
      <c r="J541" t="str">
        <f ca="1">Sprache!$A$53</f>
        <v>TIOMOS hinge T-Click-on</v>
      </c>
      <c r="K541" t="str">
        <f ca="1">"110°, S-BB, K03, "&amp;Sprache!A59&amp;", ni"</f>
        <v>110°, S-BB, K03, Dowel, ni</v>
      </c>
      <c r="L541" t="str">
        <f ca="1">Sprache!$A$63</f>
        <v>TIOMOS Click-on hinges</v>
      </c>
      <c r="M541">
        <v>3</v>
      </c>
      <c r="N541" t="s">
        <v>15</v>
      </c>
      <c r="O541">
        <v>110</v>
      </c>
      <c r="P541">
        <v>0</v>
      </c>
      <c r="Q541">
        <v>1</v>
      </c>
      <c r="R541">
        <v>0</v>
      </c>
      <c r="S541">
        <v>0</v>
      </c>
      <c r="T541">
        <v>1</v>
      </c>
      <c r="U541">
        <v>0</v>
      </c>
      <c r="V541" s="14" t="s">
        <v>596</v>
      </c>
    </row>
    <row r="542" spans="1:22" ht="14.25" customHeight="1" x14ac:dyDescent="0.25">
      <c r="A542" s="48" t="str">
        <f>LEFT(Tabelle1[[#This Row],[Artikel'#]],4)</f>
        <v>F045</v>
      </c>
      <c r="B542" s="46" t="str">
        <f>MID(Tabelle1[[#This Row],[Artikel'#]],5,3)</f>
        <v>138</v>
      </c>
      <c r="C542" s="48" t="str">
        <f>RIGHT(Tabelle1[[#This Row],[Artikel'#]],3)</f>
        <v>827</v>
      </c>
      <c r="D542" s="46">
        <f>IF(Tabelle1[[#This Row],[Winkel2]]=select!$A$2,1,0)</f>
        <v>1</v>
      </c>
      <c r="E5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42" s="46">
        <f>IF(select!$E$16=IF(Tabelle1[[#This Row],[mit Dämpfung]]=1,1,IF(Tabelle1[[#This Row],[ohne Dämpfung]]=1,2,IF(Tabelle1[[#This Row],[ohne Feder]]=1,3,0))),1,0)</f>
        <v>0</v>
      </c>
      <c r="G542" s="46">
        <f>IF(Tabelle1[[#This Row],[Links]]=select!$I$2,1,0)</f>
        <v>0</v>
      </c>
      <c r="H542" s="46">
        <f>IF(IF(Tabelle1[[#This Row],[Anschrauben]]=1,1,IF(Tabelle1[[#This Row],[Einpressen]]=1,2,IF(Tabelle1[[#This Row],[Werkzeuglos]]=1,3,0)))=select!$E$7,1,0)</f>
        <v>1</v>
      </c>
      <c r="I542" s="46">
        <f ca="1">IF(Tabelle1[[#This Row],[Winkel]]+Tabelle1[[#This Row],[Kröpfung]]+Tabelle1[[#This Row],[Däpfung]]+Tabelle1[[#This Row],[Bohrbild]]+Tabelle1[[#This Row],[Scharnierbefestigung]]=5,1,0)</f>
        <v>0</v>
      </c>
      <c r="J542" t="str">
        <f ca="1">Sprache!$A$53</f>
        <v>TIOMOS hinge T-Click-on</v>
      </c>
      <c r="K542" t="str">
        <f ca="1">"110°, S-BB, K95, "&amp;Sprache!A59&amp;", ni"</f>
        <v>110°, S-BB, K95, Dowel, ni</v>
      </c>
      <c r="L542" t="str">
        <f ca="1">Sprache!$A$63</f>
        <v>TIOMOS Click-on hinges</v>
      </c>
      <c r="M542">
        <v>9.5</v>
      </c>
      <c r="N542" t="s">
        <v>15</v>
      </c>
      <c r="O542">
        <v>110</v>
      </c>
      <c r="P542">
        <v>0</v>
      </c>
      <c r="Q542">
        <v>1</v>
      </c>
      <c r="R542">
        <v>0</v>
      </c>
      <c r="S542">
        <v>0</v>
      </c>
      <c r="T542">
        <v>1</v>
      </c>
      <c r="U542">
        <v>0</v>
      </c>
      <c r="V542" s="14" t="s">
        <v>597</v>
      </c>
    </row>
    <row r="543" spans="1:22" ht="14.25" customHeight="1" x14ac:dyDescent="0.25">
      <c r="A543" s="48" t="str">
        <f>LEFT(Tabelle1[[#This Row],[Artikel'#]],4)</f>
        <v>F045</v>
      </c>
      <c r="B543" s="46" t="str">
        <f>MID(Tabelle1[[#This Row],[Artikel'#]],5,3)</f>
        <v>138</v>
      </c>
      <c r="C543" s="48" t="str">
        <f>RIGHT(Tabelle1[[#This Row],[Artikel'#]],3)</f>
        <v>828</v>
      </c>
      <c r="D543" s="46">
        <f>IF(Tabelle1[[#This Row],[Winkel2]]=select!$A$2,1,0)</f>
        <v>1</v>
      </c>
      <c r="E5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3" s="46">
        <f>IF(select!$E$16=IF(Tabelle1[[#This Row],[mit Dämpfung]]=1,1,IF(Tabelle1[[#This Row],[ohne Dämpfung]]=1,2,IF(Tabelle1[[#This Row],[ohne Feder]]=1,3,0))),1,0)</f>
        <v>0</v>
      </c>
      <c r="G543" s="46">
        <f>IF(Tabelle1[[#This Row],[Links]]=select!$I$2,1,0)</f>
        <v>0</v>
      </c>
      <c r="H543" s="46">
        <f>IF(IF(Tabelle1[[#This Row],[Anschrauben]]=1,1,IF(Tabelle1[[#This Row],[Einpressen]]=1,2,IF(Tabelle1[[#This Row],[Werkzeuglos]]=1,3,0)))=select!$E$7,1,0)</f>
        <v>1</v>
      </c>
      <c r="I543" s="46">
        <f ca="1">IF(Tabelle1[[#This Row],[Winkel]]+Tabelle1[[#This Row],[Kröpfung]]+Tabelle1[[#This Row],[Däpfung]]+Tabelle1[[#This Row],[Bohrbild]]+Tabelle1[[#This Row],[Scharnierbefestigung]]=5,1,0)</f>
        <v>0</v>
      </c>
      <c r="J543" t="str">
        <f ca="1">Sprache!$A$53</f>
        <v>TIOMOS hinge T-Click-on</v>
      </c>
      <c r="K543" t="str">
        <f ca="1">"110°, S-BB, K19, "&amp;Sprache!A59&amp;", ni"</f>
        <v>110°, S-BB, K19, Dowel, ni</v>
      </c>
      <c r="L543" t="str">
        <f ca="1">Sprache!$A$63</f>
        <v>TIOMOS Click-on hinges</v>
      </c>
      <c r="M543">
        <v>19</v>
      </c>
      <c r="N543" t="s">
        <v>15</v>
      </c>
      <c r="O543">
        <v>110</v>
      </c>
      <c r="P543">
        <v>0</v>
      </c>
      <c r="Q543">
        <v>1</v>
      </c>
      <c r="R543">
        <v>0</v>
      </c>
      <c r="S543">
        <v>0</v>
      </c>
      <c r="T543">
        <v>1</v>
      </c>
      <c r="U543">
        <v>0</v>
      </c>
      <c r="V543" s="14" t="s">
        <v>598</v>
      </c>
    </row>
    <row r="544" spans="1:22" ht="14.25" customHeight="1" x14ac:dyDescent="0.25">
      <c r="A544" s="48" t="str">
        <f>LEFT(Tabelle1[[#This Row],[Artikel'#]],4)</f>
        <v>F045</v>
      </c>
      <c r="B544" s="46" t="str">
        <f>MID(Tabelle1[[#This Row],[Artikel'#]],5,3)</f>
        <v>138</v>
      </c>
      <c r="C544" s="48" t="str">
        <f>RIGHT(Tabelle1[[#This Row],[Artikel'#]],3)</f>
        <v>849</v>
      </c>
      <c r="D544" s="46">
        <f>IF(Tabelle1[[#This Row],[Winkel2]]=select!$A$2,1,0)</f>
        <v>0</v>
      </c>
      <c r="E5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4" s="46">
        <f>IF(select!$E$16=IF(Tabelle1[[#This Row],[mit Dämpfung]]=1,1,IF(Tabelle1[[#This Row],[ohne Dämpfung]]=1,2,IF(Tabelle1[[#This Row],[ohne Feder]]=1,3,0))),1,0)</f>
        <v>0</v>
      </c>
      <c r="G544" s="46">
        <f>IF(Tabelle1[[#This Row],[Links]]=select!$I$2,1,0)</f>
        <v>0</v>
      </c>
      <c r="H544" s="46">
        <f>IF(IF(Tabelle1[[#This Row],[Anschrauben]]=1,1,IF(Tabelle1[[#This Row],[Einpressen]]=1,2,IF(Tabelle1[[#This Row],[Werkzeuglos]]=1,3,0)))=select!$E$7,1,0)</f>
        <v>0</v>
      </c>
      <c r="I544" s="46">
        <f ca="1">IF(Tabelle1[[#This Row],[Winkel]]+Tabelle1[[#This Row],[Kröpfung]]+Tabelle1[[#This Row],[Däpfung]]+Tabelle1[[#This Row],[Bohrbild]]+Tabelle1[[#This Row],[Scharnierbefestigung]]=5,1,0)</f>
        <v>0</v>
      </c>
      <c r="J544" t="str">
        <f ca="1">Sprache!$A$53</f>
        <v>TIOMOS hinge T-Click-on</v>
      </c>
      <c r="K544" t="s">
        <v>436</v>
      </c>
      <c r="L544" t="str">
        <f ca="1">Sprache!$A$63</f>
        <v>TIOMOS Click-on hinges</v>
      </c>
      <c r="M544">
        <v>0</v>
      </c>
      <c r="N544" t="s">
        <v>15</v>
      </c>
      <c r="O544">
        <v>120</v>
      </c>
      <c r="P544">
        <v>0</v>
      </c>
      <c r="Q544">
        <v>1</v>
      </c>
      <c r="R544">
        <v>0</v>
      </c>
      <c r="S544">
        <v>1</v>
      </c>
      <c r="T544">
        <v>0</v>
      </c>
      <c r="U544">
        <v>0</v>
      </c>
      <c r="V544" s="14" t="s">
        <v>599</v>
      </c>
    </row>
    <row r="545" spans="1:22" ht="14.25" customHeight="1" x14ac:dyDescent="0.25">
      <c r="A545" s="48" t="str">
        <f>LEFT(Tabelle1[[#This Row],[Artikel'#]],4)</f>
        <v>F045</v>
      </c>
      <c r="B545" s="46" t="str">
        <f>MID(Tabelle1[[#This Row],[Artikel'#]],5,3)</f>
        <v>138</v>
      </c>
      <c r="C545" s="48" t="str">
        <f>RIGHT(Tabelle1[[#This Row],[Artikel'#]],3)</f>
        <v>850</v>
      </c>
      <c r="D545" s="46">
        <f>IF(Tabelle1[[#This Row],[Winkel2]]=select!$A$2,1,0)</f>
        <v>0</v>
      </c>
      <c r="E5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5" s="46">
        <f>IF(select!$E$16=IF(Tabelle1[[#This Row],[mit Dämpfung]]=1,1,IF(Tabelle1[[#This Row],[ohne Dämpfung]]=1,2,IF(Tabelle1[[#This Row],[ohne Feder]]=1,3,0))),1,0)</f>
        <v>0</v>
      </c>
      <c r="G545" s="46">
        <f>IF(Tabelle1[[#This Row],[Links]]=select!$I$2,1,0)</f>
        <v>0</v>
      </c>
      <c r="H545" s="46">
        <f>IF(IF(Tabelle1[[#This Row],[Anschrauben]]=1,1,IF(Tabelle1[[#This Row],[Einpressen]]=1,2,IF(Tabelle1[[#This Row],[Werkzeuglos]]=1,3,0)))=select!$E$7,1,0)</f>
        <v>0</v>
      </c>
      <c r="I545" s="46">
        <f ca="1">IF(Tabelle1[[#This Row],[Winkel]]+Tabelle1[[#This Row],[Kröpfung]]+Tabelle1[[#This Row],[Däpfung]]+Tabelle1[[#This Row],[Bohrbild]]+Tabelle1[[#This Row],[Scharnierbefestigung]]=5,1,0)</f>
        <v>0</v>
      </c>
      <c r="J545" t="str">
        <f ca="1">Sprache!$A$53</f>
        <v>TIOMOS hinge T-Click-on</v>
      </c>
      <c r="K545" t="s">
        <v>438</v>
      </c>
      <c r="L545" t="str">
        <f ca="1">Sprache!$A$63</f>
        <v>TIOMOS Click-on hinges</v>
      </c>
      <c r="M545">
        <v>3</v>
      </c>
      <c r="N545" t="s">
        <v>15</v>
      </c>
      <c r="O545">
        <v>120</v>
      </c>
      <c r="P545">
        <v>0</v>
      </c>
      <c r="Q545">
        <v>1</v>
      </c>
      <c r="R545">
        <v>0</v>
      </c>
      <c r="S545">
        <v>1</v>
      </c>
      <c r="T545">
        <v>0</v>
      </c>
      <c r="U545">
        <v>0</v>
      </c>
      <c r="V545" s="14" t="s">
        <v>600</v>
      </c>
    </row>
    <row r="546" spans="1:22" ht="14.25" customHeight="1" x14ac:dyDescent="0.25">
      <c r="A546" s="48" t="str">
        <f>LEFT(Tabelle1[[#This Row],[Artikel'#]],4)</f>
        <v>F045</v>
      </c>
      <c r="B546" s="46" t="str">
        <f>MID(Tabelle1[[#This Row],[Artikel'#]],5,3)</f>
        <v>138</v>
      </c>
      <c r="C546" s="48" t="str">
        <f>RIGHT(Tabelle1[[#This Row],[Artikel'#]],3)</f>
        <v>851</v>
      </c>
      <c r="D546" s="46">
        <f>IF(Tabelle1[[#This Row],[Winkel2]]=select!$A$2,1,0)</f>
        <v>0</v>
      </c>
      <c r="E5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46" s="46">
        <f>IF(select!$E$16=IF(Tabelle1[[#This Row],[mit Dämpfung]]=1,1,IF(Tabelle1[[#This Row],[ohne Dämpfung]]=1,2,IF(Tabelle1[[#This Row],[ohne Feder]]=1,3,0))),1,0)</f>
        <v>0</v>
      </c>
      <c r="G546" s="46">
        <f>IF(Tabelle1[[#This Row],[Links]]=select!$I$2,1,0)</f>
        <v>0</v>
      </c>
      <c r="H546" s="46">
        <f>IF(IF(Tabelle1[[#This Row],[Anschrauben]]=1,1,IF(Tabelle1[[#This Row],[Einpressen]]=1,2,IF(Tabelle1[[#This Row],[Werkzeuglos]]=1,3,0)))=select!$E$7,1,0)</f>
        <v>0</v>
      </c>
      <c r="I546" s="46">
        <f ca="1">IF(Tabelle1[[#This Row],[Winkel]]+Tabelle1[[#This Row],[Kröpfung]]+Tabelle1[[#This Row],[Däpfung]]+Tabelle1[[#This Row],[Bohrbild]]+Tabelle1[[#This Row],[Scharnierbefestigung]]=5,1,0)</f>
        <v>0</v>
      </c>
      <c r="J546" t="str">
        <f ca="1">Sprache!$A$53</f>
        <v>TIOMOS hinge T-Click-on</v>
      </c>
      <c r="K546" t="s">
        <v>440</v>
      </c>
      <c r="L546" t="str">
        <f ca="1">Sprache!$A$63</f>
        <v>TIOMOS Click-on hinges</v>
      </c>
      <c r="M546">
        <v>9.5</v>
      </c>
      <c r="N546" t="s">
        <v>15</v>
      </c>
      <c r="O546">
        <v>120</v>
      </c>
      <c r="P546">
        <v>0</v>
      </c>
      <c r="Q546">
        <v>1</v>
      </c>
      <c r="R546">
        <v>0</v>
      </c>
      <c r="S546">
        <v>1</v>
      </c>
      <c r="T546">
        <v>0</v>
      </c>
      <c r="U546">
        <v>0</v>
      </c>
      <c r="V546" s="14" t="s">
        <v>601</v>
      </c>
    </row>
    <row r="547" spans="1:22" ht="14.25" customHeight="1" x14ac:dyDescent="0.25">
      <c r="A547" s="48" t="str">
        <f>LEFT(Tabelle1[[#This Row],[Artikel'#]],4)</f>
        <v>F045</v>
      </c>
      <c r="B547" s="46" t="str">
        <f>MID(Tabelle1[[#This Row],[Artikel'#]],5,3)</f>
        <v>138</v>
      </c>
      <c r="C547" s="48" t="str">
        <f>RIGHT(Tabelle1[[#This Row],[Artikel'#]],3)</f>
        <v>853</v>
      </c>
      <c r="D547" s="46">
        <f>IF(Tabelle1[[#This Row],[Winkel2]]=select!$A$2,1,0)</f>
        <v>0</v>
      </c>
      <c r="E5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7" s="46">
        <f>IF(select!$E$16=IF(Tabelle1[[#This Row],[mit Dämpfung]]=1,1,IF(Tabelle1[[#This Row],[ohne Dämpfung]]=1,2,IF(Tabelle1[[#This Row],[ohne Feder]]=1,3,0))),1,0)</f>
        <v>0</v>
      </c>
      <c r="G547" s="46">
        <f>IF(Tabelle1[[#This Row],[Links]]=select!$I$2,1,0)</f>
        <v>0</v>
      </c>
      <c r="H547" s="46">
        <f>IF(IF(Tabelle1[[#This Row],[Anschrauben]]=1,1,IF(Tabelle1[[#This Row],[Einpressen]]=1,2,IF(Tabelle1[[#This Row],[Werkzeuglos]]=1,3,0)))=select!$E$7,1,0)</f>
        <v>1</v>
      </c>
      <c r="I547" s="46">
        <f ca="1">IF(Tabelle1[[#This Row],[Winkel]]+Tabelle1[[#This Row],[Kröpfung]]+Tabelle1[[#This Row],[Däpfung]]+Tabelle1[[#This Row],[Bohrbild]]+Tabelle1[[#This Row],[Scharnierbefestigung]]=5,1,0)</f>
        <v>0</v>
      </c>
      <c r="J547" t="str">
        <f ca="1">Sprache!$A$53</f>
        <v>TIOMOS hinge T-Click-on</v>
      </c>
      <c r="K547" t="str">
        <f ca="1">"120°, S-BB, K00, "&amp;Sprache!A59&amp;", ni"</f>
        <v>120°, S-BB, K00, Dowel, ni</v>
      </c>
      <c r="L547" t="str">
        <f ca="1">Sprache!$A$63</f>
        <v>TIOMOS Click-on hinges</v>
      </c>
      <c r="M547">
        <v>0</v>
      </c>
      <c r="N547" t="s">
        <v>15</v>
      </c>
      <c r="O547">
        <v>120</v>
      </c>
      <c r="P547">
        <v>0</v>
      </c>
      <c r="Q547">
        <v>1</v>
      </c>
      <c r="R547">
        <v>0</v>
      </c>
      <c r="S547">
        <v>0</v>
      </c>
      <c r="T547">
        <v>1</v>
      </c>
      <c r="U547">
        <v>0</v>
      </c>
      <c r="V547" s="14" t="s">
        <v>602</v>
      </c>
    </row>
    <row r="548" spans="1:22" ht="14.25" customHeight="1" x14ac:dyDescent="0.25">
      <c r="A548" s="48" t="str">
        <f>LEFT(Tabelle1[[#This Row],[Artikel'#]],4)</f>
        <v>F045</v>
      </c>
      <c r="B548" s="46" t="str">
        <f>MID(Tabelle1[[#This Row],[Artikel'#]],5,3)</f>
        <v>138</v>
      </c>
      <c r="C548" s="48" t="str">
        <f>RIGHT(Tabelle1[[#This Row],[Artikel'#]],3)</f>
        <v>854</v>
      </c>
      <c r="D548" s="46">
        <f>IF(Tabelle1[[#This Row],[Winkel2]]=select!$A$2,1,0)</f>
        <v>0</v>
      </c>
      <c r="E5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48" s="46">
        <f>IF(select!$E$16=IF(Tabelle1[[#This Row],[mit Dämpfung]]=1,1,IF(Tabelle1[[#This Row],[ohne Dämpfung]]=1,2,IF(Tabelle1[[#This Row],[ohne Feder]]=1,3,0))),1,0)</f>
        <v>0</v>
      </c>
      <c r="G548" s="46">
        <f>IF(Tabelle1[[#This Row],[Links]]=select!$I$2,1,0)</f>
        <v>0</v>
      </c>
      <c r="H548" s="46">
        <f>IF(IF(Tabelle1[[#This Row],[Anschrauben]]=1,1,IF(Tabelle1[[#This Row],[Einpressen]]=1,2,IF(Tabelle1[[#This Row],[Werkzeuglos]]=1,3,0)))=select!$E$7,1,0)</f>
        <v>1</v>
      </c>
      <c r="I548" s="46">
        <f ca="1">IF(Tabelle1[[#This Row],[Winkel]]+Tabelle1[[#This Row],[Kröpfung]]+Tabelle1[[#This Row],[Däpfung]]+Tabelle1[[#This Row],[Bohrbild]]+Tabelle1[[#This Row],[Scharnierbefestigung]]=5,1,0)</f>
        <v>0</v>
      </c>
      <c r="J548" t="str">
        <f ca="1">Sprache!$A$53</f>
        <v>TIOMOS hinge T-Click-on</v>
      </c>
      <c r="K548" t="str">
        <f ca="1">"120°, S-BB, K03, "&amp;Sprache!A59&amp;", ni"</f>
        <v>120°, S-BB, K03, Dowel, ni</v>
      </c>
      <c r="L548" t="str">
        <f ca="1">Sprache!$A$63</f>
        <v>TIOMOS Click-on hinges</v>
      </c>
      <c r="M548">
        <v>3</v>
      </c>
      <c r="N548" t="s">
        <v>15</v>
      </c>
      <c r="O548">
        <v>120</v>
      </c>
      <c r="P548">
        <v>0</v>
      </c>
      <c r="Q548">
        <v>1</v>
      </c>
      <c r="R548">
        <v>0</v>
      </c>
      <c r="S548">
        <v>0</v>
      </c>
      <c r="T548">
        <v>1</v>
      </c>
      <c r="U548">
        <v>0</v>
      </c>
      <c r="V548" s="14" t="s">
        <v>603</v>
      </c>
    </row>
    <row r="549" spans="1:22" ht="14.25" customHeight="1" x14ac:dyDescent="0.25">
      <c r="A549" s="48" t="str">
        <f>LEFT(Tabelle1[[#This Row],[Artikel'#]],4)</f>
        <v>F045</v>
      </c>
      <c r="B549" s="46" t="str">
        <f>MID(Tabelle1[[#This Row],[Artikel'#]],5,3)</f>
        <v>138</v>
      </c>
      <c r="C549" s="48" t="str">
        <f>RIGHT(Tabelle1[[#This Row],[Artikel'#]],3)</f>
        <v>855</v>
      </c>
      <c r="D549" s="46">
        <f>IF(Tabelle1[[#This Row],[Winkel2]]=select!$A$2,1,0)</f>
        <v>0</v>
      </c>
      <c r="E5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49" s="46">
        <f>IF(select!$E$16=IF(Tabelle1[[#This Row],[mit Dämpfung]]=1,1,IF(Tabelle1[[#This Row],[ohne Dämpfung]]=1,2,IF(Tabelle1[[#This Row],[ohne Feder]]=1,3,0))),1,0)</f>
        <v>0</v>
      </c>
      <c r="G549" s="46">
        <f>IF(Tabelle1[[#This Row],[Links]]=select!$I$2,1,0)</f>
        <v>0</v>
      </c>
      <c r="H549" s="46">
        <f>IF(IF(Tabelle1[[#This Row],[Anschrauben]]=1,1,IF(Tabelle1[[#This Row],[Einpressen]]=1,2,IF(Tabelle1[[#This Row],[Werkzeuglos]]=1,3,0)))=select!$E$7,1,0)</f>
        <v>1</v>
      </c>
      <c r="I549" s="46">
        <f ca="1">IF(Tabelle1[[#This Row],[Winkel]]+Tabelle1[[#This Row],[Kröpfung]]+Tabelle1[[#This Row],[Däpfung]]+Tabelle1[[#This Row],[Bohrbild]]+Tabelle1[[#This Row],[Scharnierbefestigung]]=5,1,0)</f>
        <v>0</v>
      </c>
      <c r="J549" t="str">
        <f ca="1">Sprache!$A$53</f>
        <v>TIOMOS hinge T-Click-on</v>
      </c>
      <c r="K549" t="str">
        <f ca="1">"120°, S-BB, K95, "&amp;Sprache!A59&amp;", ni"</f>
        <v>120°, S-BB, K95, Dowel, ni</v>
      </c>
      <c r="L549" t="str">
        <f ca="1">Sprache!$A$63</f>
        <v>TIOMOS Click-on hinges</v>
      </c>
      <c r="M549">
        <v>9.5</v>
      </c>
      <c r="N549" t="s">
        <v>15</v>
      </c>
      <c r="O549">
        <v>120</v>
      </c>
      <c r="P549">
        <v>0</v>
      </c>
      <c r="Q549">
        <v>1</v>
      </c>
      <c r="R549">
        <v>0</v>
      </c>
      <c r="S549">
        <v>0</v>
      </c>
      <c r="T549">
        <v>1</v>
      </c>
      <c r="U549">
        <v>0</v>
      </c>
      <c r="V549" s="14" t="s">
        <v>604</v>
      </c>
    </row>
    <row r="550" spans="1:22" ht="14.25" customHeight="1" x14ac:dyDescent="0.25">
      <c r="A550" s="48" t="str">
        <f>LEFT(Tabelle1[[#This Row],[Artikel'#]],4)</f>
        <v>F045</v>
      </c>
      <c r="B550" s="46" t="str">
        <f>MID(Tabelle1[[#This Row],[Artikel'#]],5,3)</f>
        <v>138</v>
      </c>
      <c r="C550" s="48" t="str">
        <f>RIGHT(Tabelle1[[#This Row],[Artikel'#]],3)</f>
        <v>863</v>
      </c>
      <c r="D550" s="46">
        <f>IF(Tabelle1[[#This Row],[Winkel2]]=select!$A$2,1,0)</f>
        <v>0</v>
      </c>
      <c r="E5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0" s="46">
        <f>IF(select!$E$16=IF(Tabelle1[[#This Row],[mit Dämpfung]]=1,1,IF(Tabelle1[[#This Row],[ohne Dämpfung]]=1,2,IF(Tabelle1[[#This Row],[ohne Feder]]=1,3,0))),1,0)</f>
        <v>0</v>
      </c>
      <c r="G550" s="46">
        <f>IF(Tabelle1[[#This Row],[Links]]=select!$I$2,1,0)</f>
        <v>0</v>
      </c>
      <c r="H550" s="46">
        <f>IF(IF(Tabelle1[[#This Row],[Anschrauben]]=1,1,IF(Tabelle1[[#This Row],[Einpressen]]=1,2,IF(Tabelle1[[#This Row],[Werkzeuglos]]=1,3,0)))=select!$E$7,1,0)</f>
        <v>0</v>
      </c>
      <c r="I550" s="46">
        <f ca="1">IF(Tabelle1[[#This Row],[Winkel]]+Tabelle1[[#This Row],[Kröpfung]]+Tabelle1[[#This Row],[Däpfung]]+Tabelle1[[#This Row],[Bohrbild]]+Tabelle1[[#This Row],[Scharnierbefestigung]]=5,1,0)</f>
        <v>0</v>
      </c>
      <c r="J550" t="str">
        <f ca="1">Sprache!$A$53</f>
        <v>TIOMOS hinge T-Click-on</v>
      </c>
      <c r="K550" t="s">
        <v>445</v>
      </c>
      <c r="L550" t="str">
        <f ca="1">Sprache!$A$63</f>
        <v>TIOMOS Click-on hinges</v>
      </c>
      <c r="M550">
        <v>0</v>
      </c>
      <c r="N550" s="13" t="s">
        <v>15</v>
      </c>
      <c r="O550">
        <v>160</v>
      </c>
      <c r="P550">
        <v>0</v>
      </c>
      <c r="Q550">
        <v>1</v>
      </c>
      <c r="R550">
        <v>0</v>
      </c>
      <c r="S550">
        <v>1</v>
      </c>
      <c r="T550">
        <v>0</v>
      </c>
      <c r="U550">
        <v>0</v>
      </c>
      <c r="V550" s="14" t="s">
        <v>605</v>
      </c>
    </row>
    <row r="551" spans="1:22" ht="14.25" customHeight="1" x14ac:dyDescent="0.25">
      <c r="A551" s="48" t="str">
        <f>LEFT(Tabelle1[[#This Row],[Artikel'#]],4)</f>
        <v>F045</v>
      </c>
      <c r="B551" s="46" t="str">
        <f>MID(Tabelle1[[#This Row],[Artikel'#]],5,3)</f>
        <v>138</v>
      </c>
      <c r="C551" s="48" t="str">
        <f>RIGHT(Tabelle1[[#This Row],[Artikel'#]],3)</f>
        <v>864</v>
      </c>
      <c r="D551" s="46">
        <f>IF(Tabelle1[[#This Row],[Winkel2]]=select!$A$2,1,0)</f>
        <v>0</v>
      </c>
      <c r="E5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1" s="46">
        <f>IF(select!$E$16=IF(Tabelle1[[#This Row],[mit Dämpfung]]=1,1,IF(Tabelle1[[#This Row],[ohne Dämpfung]]=1,2,IF(Tabelle1[[#This Row],[ohne Feder]]=1,3,0))),1,0)</f>
        <v>0</v>
      </c>
      <c r="G551" s="46">
        <f>IF(Tabelle1[[#This Row],[Links]]=select!$I$2,1,0)</f>
        <v>0</v>
      </c>
      <c r="H551" s="46">
        <f>IF(IF(Tabelle1[[#This Row],[Anschrauben]]=1,1,IF(Tabelle1[[#This Row],[Einpressen]]=1,2,IF(Tabelle1[[#This Row],[Werkzeuglos]]=1,3,0)))=select!$E$7,1,0)</f>
        <v>0</v>
      </c>
      <c r="I551" s="46">
        <f ca="1">IF(Tabelle1[[#This Row],[Winkel]]+Tabelle1[[#This Row],[Kröpfung]]+Tabelle1[[#This Row],[Däpfung]]+Tabelle1[[#This Row],[Bohrbild]]+Tabelle1[[#This Row],[Scharnierbefestigung]]=5,1,0)</f>
        <v>0</v>
      </c>
      <c r="J551" t="str">
        <f ca="1">Sprache!$A$53</f>
        <v>TIOMOS hinge T-Click-on</v>
      </c>
      <c r="K551" t="s">
        <v>447</v>
      </c>
      <c r="L551" t="str">
        <f ca="1">Sprache!$A$63</f>
        <v>TIOMOS Click-on hinges</v>
      </c>
      <c r="M551">
        <v>3</v>
      </c>
      <c r="N551" t="s">
        <v>15</v>
      </c>
      <c r="O551">
        <v>160</v>
      </c>
      <c r="P551">
        <v>0</v>
      </c>
      <c r="Q551">
        <v>1</v>
      </c>
      <c r="R551">
        <v>0</v>
      </c>
      <c r="S551">
        <v>1</v>
      </c>
      <c r="T551">
        <v>0</v>
      </c>
      <c r="U551">
        <v>0</v>
      </c>
      <c r="V551" s="14" t="s">
        <v>606</v>
      </c>
    </row>
    <row r="552" spans="1:22" ht="14.25" customHeight="1" x14ac:dyDescent="0.25">
      <c r="A552" s="48" t="str">
        <f>LEFT(Tabelle1[[#This Row],[Artikel'#]],4)</f>
        <v>F045</v>
      </c>
      <c r="B552" s="46" t="str">
        <f>MID(Tabelle1[[#This Row],[Artikel'#]],5,3)</f>
        <v>138</v>
      </c>
      <c r="C552" s="48" t="str">
        <f>RIGHT(Tabelle1[[#This Row],[Artikel'#]],3)</f>
        <v>865</v>
      </c>
      <c r="D552" s="46">
        <f>IF(Tabelle1[[#This Row],[Winkel2]]=select!$A$2,1,0)</f>
        <v>0</v>
      </c>
      <c r="E5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52" s="46">
        <f>IF(select!$E$16=IF(Tabelle1[[#This Row],[mit Dämpfung]]=1,1,IF(Tabelle1[[#This Row],[ohne Dämpfung]]=1,2,IF(Tabelle1[[#This Row],[ohne Feder]]=1,3,0))),1,0)</f>
        <v>0</v>
      </c>
      <c r="G552" s="46">
        <f>IF(Tabelle1[[#This Row],[Links]]=select!$I$2,1,0)</f>
        <v>0</v>
      </c>
      <c r="H552" s="46">
        <f>IF(IF(Tabelle1[[#This Row],[Anschrauben]]=1,1,IF(Tabelle1[[#This Row],[Einpressen]]=1,2,IF(Tabelle1[[#This Row],[Werkzeuglos]]=1,3,0)))=select!$E$7,1,0)</f>
        <v>0</v>
      </c>
      <c r="I552" s="46">
        <f ca="1">IF(Tabelle1[[#This Row],[Winkel]]+Tabelle1[[#This Row],[Kröpfung]]+Tabelle1[[#This Row],[Däpfung]]+Tabelle1[[#This Row],[Bohrbild]]+Tabelle1[[#This Row],[Scharnierbefestigung]]=5,1,0)</f>
        <v>0</v>
      </c>
      <c r="J552" t="str">
        <f ca="1">Sprache!$A$53</f>
        <v>TIOMOS hinge T-Click-on</v>
      </c>
      <c r="K552" t="s">
        <v>449</v>
      </c>
      <c r="L552" t="str">
        <f ca="1">Sprache!$A$63</f>
        <v>TIOMOS Click-on hinges</v>
      </c>
      <c r="M552">
        <v>9.5</v>
      </c>
      <c r="N552" t="s">
        <v>15</v>
      </c>
      <c r="O552">
        <v>160</v>
      </c>
      <c r="P552">
        <v>0</v>
      </c>
      <c r="Q552">
        <v>1</v>
      </c>
      <c r="R552">
        <v>0</v>
      </c>
      <c r="S552">
        <v>1</v>
      </c>
      <c r="T552">
        <v>0</v>
      </c>
      <c r="U552">
        <v>0</v>
      </c>
      <c r="V552" s="14" t="s">
        <v>607</v>
      </c>
    </row>
    <row r="553" spans="1:22" ht="14.25" customHeight="1" x14ac:dyDescent="0.25">
      <c r="A553" s="48" t="str">
        <f>LEFT(Tabelle1[[#This Row],[Artikel'#]],4)</f>
        <v>F045</v>
      </c>
      <c r="B553" s="46" t="str">
        <f>MID(Tabelle1[[#This Row],[Artikel'#]],5,3)</f>
        <v>138</v>
      </c>
      <c r="C553" s="48" t="str">
        <f>RIGHT(Tabelle1[[#This Row],[Artikel'#]],3)</f>
        <v>866</v>
      </c>
      <c r="D553" s="46">
        <f>IF(Tabelle1[[#This Row],[Winkel2]]=select!$A$2,1,0)</f>
        <v>0</v>
      </c>
      <c r="E5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3" s="46">
        <f>IF(select!$E$16=IF(Tabelle1[[#This Row],[mit Dämpfung]]=1,1,IF(Tabelle1[[#This Row],[ohne Dämpfung]]=1,2,IF(Tabelle1[[#This Row],[ohne Feder]]=1,3,0))),1,0)</f>
        <v>0</v>
      </c>
      <c r="G553" s="46">
        <f>IF(Tabelle1[[#This Row],[Links]]=select!$I$2,1,0)</f>
        <v>0</v>
      </c>
      <c r="H553" s="46">
        <f>IF(IF(Tabelle1[[#This Row],[Anschrauben]]=1,1,IF(Tabelle1[[#This Row],[Einpressen]]=1,2,IF(Tabelle1[[#This Row],[Werkzeuglos]]=1,3,0)))=select!$E$7,1,0)</f>
        <v>1</v>
      </c>
      <c r="I553" s="46">
        <f ca="1">IF(Tabelle1[[#This Row],[Winkel]]+Tabelle1[[#This Row],[Kröpfung]]+Tabelle1[[#This Row],[Däpfung]]+Tabelle1[[#This Row],[Bohrbild]]+Tabelle1[[#This Row],[Scharnierbefestigung]]=5,1,0)</f>
        <v>0</v>
      </c>
      <c r="J553" t="str">
        <f ca="1">Sprache!$A$53</f>
        <v>TIOMOS hinge T-Click-on</v>
      </c>
      <c r="K553" t="str">
        <f ca="1">"160°, S-BB, K00, "&amp;Sprache!A59&amp;", ni"</f>
        <v>160°, S-BB, K00, Dowel, ni</v>
      </c>
      <c r="L553" t="str">
        <f ca="1">Sprache!$A$63</f>
        <v>TIOMOS Click-on hinges</v>
      </c>
      <c r="M553">
        <v>0</v>
      </c>
      <c r="N553" s="13" t="s">
        <v>15</v>
      </c>
      <c r="O553">
        <v>160</v>
      </c>
      <c r="P553">
        <v>0</v>
      </c>
      <c r="Q553">
        <v>1</v>
      </c>
      <c r="R553">
        <v>0</v>
      </c>
      <c r="S553">
        <v>0</v>
      </c>
      <c r="T553">
        <v>1</v>
      </c>
      <c r="U553">
        <v>0</v>
      </c>
      <c r="V553" s="14" t="s">
        <v>608</v>
      </c>
    </row>
    <row r="554" spans="1:22" ht="14.25" customHeight="1" x14ac:dyDescent="0.25">
      <c r="A554" s="48" t="str">
        <f>LEFT(Tabelle1[[#This Row],[Artikel'#]],4)</f>
        <v>F045</v>
      </c>
      <c r="B554" s="46" t="str">
        <f>MID(Tabelle1[[#This Row],[Artikel'#]],5,3)</f>
        <v>138</v>
      </c>
      <c r="C554" s="48" t="str">
        <f>RIGHT(Tabelle1[[#This Row],[Artikel'#]],3)</f>
        <v>867</v>
      </c>
      <c r="D554" s="46">
        <f>IF(Tabelle1[[#This Row],[Winkel2]]=select!$A$2,1,0)</f>
        <v>0</v>
      </c>
      <c r="E5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4" s="46">
        <f>IF(select!$E$16=IF(Tabelle1[[#This Row],[mit Dämpfung]]=1,1,IF(Tabelle1[[#This Row],[ohne Dämpfung]]=1,2,IF(Tabelle1[[#This Row],[ohne Feder]]=1,3,0))),1,0)</f>
        <v>0</v>
      </c>
      <c r="G554" s="46">
        <f>IF(Tabelle1[[#This Row],[Links]]=select!$I$2,1,0)</f>
        <v>0</v>
      </c>
      <c r="H554" s="46">
        <f>IF(IF(Tabelle1[[#This Row],[Anschrauben]]=1,1,IF(Tabelle1[[#This Row],[Einpressen]]=1,2,IF(Tabelle1[[#This Row],[Werkzeuglos]]=1,3,0)))=select!$E$7,1,0)</f>
        <v>1</v>
      </c>
      <c r="I554" s="46">
        <f ca="1">IF(Tabelle1[[#This Row],[Winkel]]+Tabelle1[[#This Row],[Kröpfung]]+Tabelle1[[#This Row],[Däpfung]]+Tabelle1[[#This Row],[Bohrbild]]+Tabelle1[[#This Row],[Scharnierbefestigung]]=5,1,0)</f>
        <v>0</v>
      </c>
      <c r="J554" t="str">
        <f ca="1">Sprache!$A$53</f>
        <v>TIOMOS hinge T-Click-on</v>
      </c>
      <c r="K554" t="str">
        <f ca="1">"160°, S-BB, K03, "&amp;Sprache!A59&amp;", ni"</f>
        <v>160°, S-BB, K03, Dowel, ni</v>
      </c>
      <c r="L554" t="str">
        <f ca="1">Sprache!$A$63</f>
        <v>TIOMOS Click-on hinges</v>
      </c>
      <c r="M554">
        <v>3</v>
      </c>
      <c r="N554" t="s">
        <v>15</v>
      </c>
      <c r="O554">
        <v>160</v>
      </c>
      <c r="P554">
        <v>0</v>
      </c>
      <c r="Q554">
        <v>1</v>
      </c>
      <c r="R554">
        <v>0</v>
      </c>
      <c r="S554">
        <v>0</v>
      </c>
      <c r="T554">
        <v>1</v>
      </c>
      <c r="U554">
        <v>0</v>
      </c>
      <c r="V554" s="14" t="s">
        <v>609</v>
      </c>
    </row>
    <row r="555" spans="1:22" ht="14.25" customHeight="1" x14ac:dyDescent="0.25">
      <c r="A555" s="48" t="str">
        <f>LEFT(Tabelle1[[#This Row],[Artikel'#]],4)</f>
        <v>F045</v>
      </c>
      <c r="B555" s="46" t="str">
        <f>MID(Tabelle1[[#This Row],[Artikel'#]],5,3)</f>
        <v>138</v>
      </c>
      <c r="C555" s="48" t="str">
        <f>RIGHT(Tabelle1[[#This Row],[Artikel'#]],3)</f>
        <v>868</v>
      </c>
      <c r="D555" s="46">
        <f>IF(Tabelle1[[#This Row],[Winkel2]]=select!$A$2,1,0)</f>
        <v>0</v>
      </c>
      <c r="E5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55" s="46">
        <f>IF(select!$E$16=IF(Tabelle1[[#This Row],[mit Dämpfung]]=1,1,IF(Tabelle1[[#This Row],[ohne Dämpfung]]=1,2,IF(Tabelle1[[#This Row],[ohne Feder]]=1,3,0))),1,0)</f>
        <v>0</v>
      </c>
      <c r="G555" s="46">
        <f>IF(Tabelle1[[#This Row],[Links]]=select!$I$2,1,0)</f>
        <v>0</v>
      </c>
      <c r="H555" s="46">
        <f>IF(IF(Tabelle1[[#This Row],[Anschrauben]]=1,1,IF(Tabelle1[[#This Row],[Einpressen]]=1,2,IF(Tabelle1[[#This Row],[Werkzeuglos]]=1,3,0)))=select!$E$7,1,0)</f>
        <v>1</v>
      </c>
      <c r="I555" s="46">
        <f ca="1">IF(Tabelle1[[#This Row],[Winkel]]+Tabelle1[[#This Row],[Kröpfung]]+Tabelle1[[#This Row],[Däpfung]]+Tabelle1[[#This Row],[Bohrbild]]+Tabelle1[[#This Row],[Scharnierbefestigung]]=5,1,0)</f>
        <v>0</v>
      </c>
      <c r="J555" t="str">
        <f ca="1">Sprache!$A$53</f>
        <v>TIOMOS hinge T-Click-on</v>
      </c>
      <c r="K555" t="str">
        <f ca="1">"160°, S-BB, K95, "&amp;Sprache!A59&amp;", ni"</f>
        <v>160°, S-BB, K95, Dowel, ni</v>
      </c>
      <c r="L555" t="str">
        <f ca="1">Sprache!$A$63</f>
        <v>TIOMOS Click-on hinges</v>
      </c>
      <c r="M555">
        <v>9.5</v>
      </c>
      <c r="N555" t="s">
        <v>15</v>
      </c>
      <c r="O555">
        <v>160</v>
      </c>
      <c r="P555">
        <v>0</v>
      </c>
      <c r="Q555">
        <v>1</v>
      </c>
      <c r="R555">
        <v>0</v>
      </c>
      <c r="S555">
        <v>0</v>
      </c>
      <c r="T555">
        <v>1</v>
      </c>
      <c r="U555">
        <v>0</v>
      </c>
      <c r="V555" s="14" t="s">
        <v>610</v>
      </c>
    </row>
    <row r="556" spans="1:22" ht="14.25" customHeight="1" x14ac:dyDescent="0.25">
      <c r="A556" s="48" t="str">
        <f>LEFT(Tabelle1[[#This Row],[Artikel'#]],4)</f>
        <v>F045</v>
      </c>
      <c r="B556" s="46" t="str">
        <f>MID(Tabelle1[[#This Row],[Artikel'#]],5,3)</f>
        <v>138</v>
      </c>
      <c r="C556" s="48" t="str">
        <f>RIGHT(Tabelle1[[#This Row],[Artikel'#]],3)</f>
        <v>869</v>
      </c>
      <c r="D556" s="46">
        <f>IF(Tabelle1[[#This Row],[Winkel2]]=select!$A$2,1,0)</f>
        <v>0</v>
      </c>
      <c r="E5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6" s="46">
        <f>IF(select!$E$16=IF(Tabelle1[[#This Row],[mit Dämpfung]]=1,1,IF(Tabelle1[[#This Row],[ohne Dämpfung]]=1,2,IF(Tabelle1[[#This Row],[ohne Feder]]=1,3,0))),1,0)</f>
        <v>0</v>
      </c>
      <c r="G556" s="46">
        <f>IF(Tabelle1[[#This Row],[Links]]=select!$I$2,1,0)</f>
        <v>0</v>
      </c>
      <c r="H556" s="46">
        <f>IF(IF(Tabelle1[[#This Row],[Anschrauben]]=1,1,IF(Tabelle1[[#This Row],[Einpressen]]=1,2,IF(Tabelle1[[#This Row],[Werkzeuglos]]=1,3,0)))=select!$E$7,1,0)</f>
        <v>0</v>
      </c>
      <c r="I556" s="46">
        <f ca="1">IF(Tabelle1[[#This Row],[Winkel]]+Tabelle1[[#This Row],[Kröpfung]]+Tabelle1[[#This Row],[Däpfung]]+Tabelle1[[#This Row],[Bohrbild]]+Tabelle1[[#This Row],[Scharnierbefestigung]]=5,1,0)</f>
        <v>0</v>
      </c>
      <c r="J556" t="str">
        <f ca="1">Sprache!$A$53</f>
        <v>TIOMOS hinge T-Click-on</v>
      </c>
      <c r="K556" t="s">
        <v>454</v>
      </c>
      <c r="L556" t="str">
        <f ca="1">Sprache!$A$63</f>
        <v>TIOMOS Click-on hinges</v>
      </c>
      <c r="M556">
        <v>0</v>
      </c>
      <c r="N556" t="s">
        <v>15</v>
      </c>
      <c r="O556">
        <v>95</v>
      </c>
      <c r="P556">
        <v>0</v>
      </c>
      <c r="Q556">
        <v>1</v>
      </c>
      <c r="R556">
        <v>0</v>
      </c>
      <c r="S556">
        <v>1</v>
      </c>
      <c r="T556">
        <v>0</v>
      </c>
      <c r="U556">
        <v>0</v>
      </c>
      <c r="V556" s="14" t="s">
        <v>611</v>
      </c>
    </row>
    <row r="557" spans="1:22" ht="14.25" customHeight="1" x14ac:dyDescent="0.25">
      <c r="A557" s="48" t="str">
        <f>LEFT(Tabelle1[[#This Row],[Artikel'#]],4)</f>
        <v>F045</v>
      </c>
      <c r="B557" s="46" t="str">
        <f>MID(Tabelle1[[#This Row],[Artikel'#]],5,3)</f>
        <v>138</v>
      </c>
      <c r="C557" s="48" t="str">
        <f>RIGHT(Tabelle1[[#This Row],[Artikel'#]],3)</f>
        <v>870</v>
      </c>
      <c r="D557" s="46">
        <f>IF(Tabelle1[[#This Row],[Winkel2]]=select!$A$2,1,0)</f>
        <v>0</v>
      </c>
      <c r="E5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7" s="46">
        <f>IF(select!$E$16=IF(Tabelle1[[#This Row],[mit Dämpfung]]=1,1,IF(Tabelle1[[#This Row],[ohne Dämpfung]]=1,2,IF(Tabelle1[[#This Row],[ohne Feder]]=1,3,0))),1,0)</f>
        <v>0</v>
      </c>
      <c r="G557" s="46">
        <f>IF(Tabelle1[[#This Row],[Links]]=select!$I$2,1,0)</f>
        <v>0</v>
      </c>
      <c r="H557" s="46">
        <f>IF(IF(Tabelle1[[#This Row],[Anschrauben]]=1,1,IF(Tabelle1[[#This Row],[Einpressen]]=1,2,IF(Tabelle1[[#This Row],[Werkzeuglos]]=1,3,0)))=select!$E$7,1,0)</f>
        <v>0</v>
      </c>
      <c r="I557" s="46">
        <f ca="1">IF(Tabelle1[[#This Row],[Winkel]]+Tabelle1[[#This Row],[Kröpfung]]+Tabelle1[[#This Row],[Däpfung]]+Tabelle1[[#This Row],[Bohrbild]]+Tabelle1[[#This Row],[Scharnierbefestigung]]=5,1,0)</f>
        <v>0</v>
      </c>
      <c r="J557" t="str">
        <f ca="1">Sprache!$A$53</f>
        <v>TIOMOS hinge T-Click-on</v>
      </c>
      <c r="K557" t="s">
        <v>456</v>
      </c>
      <c r="L557" t="str">
        <f ca="1">Sprache!$A$63</f>
        <v>TIOMOS Click-on hinges</v>
      </c>
      <c r="M557">
        <v>3</v>
      </c>
      <c r="N557" t="s">
        <v>15</v>
      </c>
      <c r="O557">
        <v>95</v>
      </c>
      <c r="P557">
        <v>0</v>
      </c>
      <c r="Q557">
        <v>1</v>
      </c>
      <c r="R557">
        <v>0</v>
      </c>
      <c r="S557">
        <v>1</v>
      </c>
      <c r="T557">
        <v>0</v>
      </c>
      <c r="U557">
        <v>0</v>
      </c>
      <c r="V557" s="14" t="s">
        <v>612</v>
      </c>
    </row>
    <row r="558" spans="1:22" ht="14.25" customHeight="1" x14ac:dyDescent="0.25">
      <c r="A558" s="48" t="str">
        <f>LEFT(Tabelle1[[#This Row],[Artikel'#]],4)</f>
        <v>F045</v>
      </c>
      <c r="B558" s="46" t="str">
        <f>MID(Tabelle1[[#This Row],[Artikel'#]],5,3)</f>
        <v>138</v>
      </c>
      <c r="C558" s="48" t="str">
        <f>RIGHT(Tabelle1[[#This Row],[Artikel'#]],3)</f>
        <v>871</v>
      </c>
      <c r="D558" s="46">
        <f>IF(Tabelle1[[#This Row],[Winkel2]]=select!$A$2,1,0)</f>
        <v>0</v>
      </c>
      <c r="E5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58" s="46">
        <f>IF(select!$E$16=IF(Tabelle1[[#This Row],[mit Dämpfung]]=1,1,IF(Tabelle1[[#This Row],[ohne Dämpfung]]=1,2,IF(Tabelle1[[#This Row],[ohne Feder]]=1,3,0))),1,0)</f>
        <v>0</v>
      </c>
      <c r="G558" s="46">
        <f>IF(Tabelle1[[#This Row],[Links]]=select!$I$2,1,0)</f>
        <v>0</v>
      </c>
      <c r="H558" s="46">
        <f>IF(IF(Tabelle1[[#This Row],[Anschrauben]]=1,1,IF(Tabelle1[[#This Row],[Einpressen]]=1,2,IF(Tabelle1[[#This Row],[Werkzeuglos]]=1,3,0)))=select!$E$7,1,0)</f>
        <v>0</v>
      </c>
      <c r="I558" s="46">
        <f ca="1">IF(Tabelle1[[#This Row],[Winkel]]+Tabelle1[[#This Row],[Kröpfung]]+Tabelle1[[#This Row],[Däpfung]]+Tabelle1[[#This Row],[Bohrbild]]+Tabelle1[[#This Row],[Scharnierbefestigung]]=5,1,0)</f>
        <v>0</v>
      </c>
      <c r="J558" t="str">
        <f ca="1">Sprache!$A$53</f>
        <v>TIOMOS hinge T-Click-on</v>
      </c>
      <c r="K558" t="s">
        <v>458</v>
      </c>
      <c r="L558" t="str">
        <f ca="1">Sprache!$A$63</f>
        <v>TIOMOS Click-on hinges</v>
      </c>
      <c r="M558">
        <v>9.5</v>
      </c>
      <c r="N558" t="s">
        <v>15</v>
      </c>
      <c r="O558">
        <v>95</v>
      </c>
      <c r="P558">
        <v>0</v>
      </c>
      <c r="Q558">
        <v>1</v>
      </c>
      <c r="R558">
        <v>0</v>
      </c>
      <c r="S558">
        <v>1</v>
      </c>
      <c r="T558">
        <v>0</v>
      </c>
      <c r="U558">
        <v>0</v>
      </c>
      <c r="V558" s="14" t="s">
        <v>613</v>
      </c>
    </row>
    <row r="559" spans="1:22" ht="14.25" customHeight="1" x14ac:dyDescent="0.25">
      <c r="A559" s="48" t="str">
        <f>LEFT(Tabelle1[[#This Row],[Artikel'#]],4)</f>
        <v>F045</v>
      </c>
      <c r="B559" s="46" t="str">
        <f>MID(Tabelle1[[#This Row],[Artikel'#]],5,3)</f>
        <v>138</v>
      </c>
      <c r="C559" s="48" t="str">
        <f>RIGHT(Tabelle1[[#This Row],[Artikel'#]],3)</f>
        <v>872</v>
      </c>
      <c r="D559" s="46">
        <f>IF(Tabelle1[[#This Row],[Winkel2]]=select!$A$2,1,0)</f>
        <v>0</v>
      </c>
      <c r="E5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59" s="46">
        <f>IF(select!$E$16=IF(Tabelle1[[#This Row],[mit Dämpfung]]=1,1,IF(Tabelle1[[#This Row],[ohne Dämpfung]]=1,2,IF(Tabelle1[[#This Row],[ohne Feder]]=1,3,0))),1,0)</f>
        <v>0</v>
      </c>
      <c r="G559" s="46">
        <f>IF(Tabelle1[[#This Row],[Links]]=select!$I$2,1,0)</f>
        <v>0</v>
      </c>
      <c r="H559" s="46">
        <f>IF(IF(Tabelle1[[#This Row],[Anschrauben]]=1,1,IF(Tabelle1[[#This Row],[Einpressen]]=1,2,IF(Tabelle1[[#This Row],[Werkzeuglos]]=1,3,0)))=select!$E$7,1,0)</f>
        <v>0</v>
      </c>
      <c r="I559" s="46">
        <f ca="1">IF(Tabelle1[[#This Row],[Winkel]]+Tabelle1[[#This Row],[Kröpfung]]+Tabelle1[[#This Row],[Däpfung]]+Tabelle1[[#This Row],[Bohrbild]]+Tabelle1[[#This Row],[Scharnierbefestigung]]=5,1,0)</f>
        <v>0</v>
      </c>
      <c r="J559" t="str">
        <f ca="1">Sprache!$A$53</f>
        <v>TIOMOS hinge T-Click-on</v>
      </c>
      <c r="K559" t="s">
        <v>460</v>
      </c>
      <c r="L559" t="str">
        <f ca="1">Sprache!$A$63</f>
        <v>TIOMOS Click-on hinges</v>
      </c>
      <c r="M559">
        <v>19</v>
      </c>
      <c r="N559" t="s">
        <v>15</v>
      </c>
      <c r="O559">
        <v>95</v>
      </c>
      <c r="P559">
        <v>0</v>
      </c>
      <c r="Q559">
        <v>1</v>
      </c>
      <c r="R559">
        <v>0</v>
      </c>
      <c r="S559">
        <v>1</v>
      </c>
      <c r="T559">
        <v>0</v>
      </c>
      <c r="U559">
        <v>0</v>
      </c>
      <c r="V559" s="14" t="s">
        <v>614</v>
      </c>
    </row>
    <row r="560" spans="1:22" ht="14.25" customHeight="1" x14ac:dyDescent="0.25">
      <c r="A560" s="48" t="str">
        <f>LEFT(Tabelle1[[#This Row],[Artikel'#]],4)</f>
        <v>F045</v>
      </c>
      <c r="B560" s="46" t="str">
        <f>MID(Tabelle1[[#This Row],[Artikel'#]],5,3)</f>
        <v>138</v>
      </c>
      <c r="C560" s="48" t="str">
        <f>RIGHT(Tabelle1[[#This Row],[Artikel'#]],3)</f>
        <v>873</v>
      </c>
      <c r="D560" s="46">
        <f>IF(Tabelle1[[#This Row],[Winkel2]]=select!$A$2,1,0)</f>
        <v>0</v>
      </c>
      <c r="E5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0" s="46">
        <f>IF(select!$E$16=IF(Tabelle1[[#This Row],[mit Dämpfung]]=1,1,IF(Tabelle1[[#This Row],[ohne Dämpfung]]=1,2,IF(Tabelle1[[#This Row],[ohne Feder]]=1,3,0))),1,0)</f>
        <v>0</v>
      </c>
      <c r="G560" s="46">
        <f>IF(Tabelle1[[#This Row],[Links]]=select!$I$2,1,0)</f>
        <v>0</v>
      </c>
      <c r="H560" s="46">
        <f>IF(IF(Tabelle1[[#This Row],[Anschrauben]]=1,1,IF(Tabelle1[[#This Row],[Einpressen]]=1,2,IF(Tabelle1[[#This Row],[Werkzeuglos]]=1,3,0)))=select!$E$7,1,0)</f>
        <v>1</v>
      </c>
      <c r="I560" s="46">
        <f ca="1">IF(Tabelle1[[#This Row],[Winkel]]+Tabelle1[[#This Row],[Kröpfung]]+Tabelle1[[#This Row],[Däpfung]]+Tabelle1[[#This Row],[Bohrbild]]+Tabelle1[[#This Row],[Scharnierbefestigung]]=5,1,0)</f>
        <v>0</v>
      </c>
      <c r="J560" t="str">
        <f ca="1">Sprache!$A$53</f>
        <v>TIOMOS hinge T-Click-on</v>
      </c>
      <c r="K560" t="str">
        <f ca="1">"95°, S-BB, K00, "&amp;Sprache!A59&amp;", ni"</f>
        <v>95°, S-BB, K00, Dowel, ni</v>
      </c>
      <c r="L560" t="str">
        <f ca="1">Sprache!$A$63</f>
        <v>TIOMOS Click-on hinges</v>
      </c>
      <c r="M560">
        <v>0</v>
      </c>
      <c r="N560" t="s">
        <v>15</v>
      </c>
      <c r="O560">
        <v>95</v>
      </c>
      <c r="P560">
        <v>0</v>
      </c>
      <c r="Q560">
        <v>1</v>
      </c>
      <c r="R560">
        <v>0</v>
      </c>
      <c r="S560">
        <v>0</v>
      </c>
      <c r="T560">
        <v>1</v>
      </c>
      <c r="U560">
        <v>0</v>
      </c>
      <c r="V560" s="14" t="s">
        <v>615</v>
      </c>
    </row>
    <row r="561" spans="1:22" ht="14.25" customHeight="1" x14ac:dyDescent="0.25">
      <c r="A561" s="48" t="str">
        <f>LEFT(Tabelle1[[#This Row],[Artikel'#]],4)</f>
        <v>F045</v>
      </c>
      <c r="B561" s="46" t="str">
        <f>MID(Tabelle1[[#This Row],[Artikel'#]],5,3)</f>
        <v>138</v>
      </c>
      <c r="C561" s="48" t="str">
        <f>RIGHT(Tabelle1[[#This Row],[Artikel'#]],3)</f>
        <v>874</v>
      </c>
      <c r="D561" s="46">
        <f>IF(Tabelle1[[#This Row],[Winkel2]]=select!$A$2,1,0)</f>
        <v>0</v>
      </c>
      <c r="E5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1" s="46">
        <f>IF(select!$E$16=IF(Tabelle1[[#This Row],[mit Dämpfung]]=1,1,IF(Tabelle1[[#This Row],[ohne Dämpfung]]=1,2,IF(Tabelle1[[#This Row],[ohne Feder]]=1,3,0))),1,0)</f>
        <v>0</v>
      </c>
      <c r="G561" s="46">
        <f>IF(Tabelle1[[#This Row],[Links]]=select!$I$2,1,0)</f>
        <v>0</v>
      </c>
      <c r="H561" s="46">
        <f>IF(IF(Tabelle1[[#This Row],[Anschrauben]]=1,1,IF(Tabelle1[[#This Row],[Einpressen]]=1,2,IF(Tabelle1[[#This Row],[Werkzeuglos]]=1,3,0)))=select!$E$7,1,0)</f>
        <v>1</v>
      </c>
      <c r="I561" s="46">
        <f ca="1">IF(Tabelle1[[#This Row],[Winkel]]+Tabelle1[[#This Row],[Kröpfung]]+Tabelle1[[#This Row],[Däpfung]]+Tabelle1[[#This Row],[Bohrbild]]+Tabelle1[[#This Row],[Scharnierbefestigung]]=5,1,0)</f>
        <v>0</v>
      </c>
      <c r="J561" t="str">
        <f ca="1">Sprache!$A$53</f>
        <v>TIOMOS hinge T-Click-on</v>
      </c>
      <c r="K561" t="str">
        <f ca="1">"95°, S-BB, K03, "&amp;Sprache!A59&amp;", ni"</f>
        <v>95°, S-BB, K03, Dowel, ni</v>
      </c>
      <c r="L561" t="str">
        <f ca="1">Sprache!$A$63</f>
        <v>TIOMOS Click-on hinges</v>
      </c>
      <c r="M561">
        <v>3</v>
      </c>
      <c r="N561" t="s">
        <v>15</v>
      </c>
      <c r="O561">
        <v>95</v>
      </c>
      <c r="P561">
        <v>0</v>
      </c>
      <c r="Q561">
        <v>1</v>
      </c>
      <c r="R561">
        <v>0</v>
      </c>
      <c r="S561">
        <v>0</v>
      </c>
      <c r="T561">
        <v>1</v>
      </c>
      <c r="U561">
        <v>0</v>
      </c>
      <c r="V561" s="14" t="s">
        <v>616</v>
      </c>
    </row>
    <row r="562" spans="1:22" ht="14.25" customHeight="1" x14ac:dyDescent="0.25">
      <c r="A562" s="48" t="str">
        <f>LEFT(Tabelle1[[#This Row],[Artikel'#]],4)</f>
        <v>F045</v>
      </c>
      <c r="B562" s="46" t="str">
        <f>MID(Tabelle1[[#This Row],[Artikel'#]],5,3)</f>
        <v>138</v>
      </c>
      <c r="C562" s="48" t="str">
        <f>RIGHT(Tabelle1[[#This Row],[Artikel'#]],3)</f>
        <v>875</v>
      </c>
      <c r="D562" s="46">
        <f>IF(Tabelle1[[#This Row],[Winkel2]]=select!$A$2,1,0)</f>
        <v>0</v>
      </c>
      <c r="E5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62" s="46">
        <f>IF(select!$E$16=IF(Tabelle1[[#This Row],[mit Dämpfung]]=1,1,IF(Tabelle1[[#This Row],[ohne Dämpfung]]=1,2,IF(Tabelle1[[#This Row],[ohne Feder]]=1,3,0))),1,0)</f>
        <v>0</v>
      </c>
      <c r="G562" s="46">
        <f>IF(Tabelle1[[#This Row],[Links]]=select!$I$2,1,0)</f>
        <v>0</v>
      </c>
      <c r="H562" s="46">
        <f>IF(IF(Tabelle1[[#This Row],[Anschrauben]]=1,1,IF(Tabelle1[[#This Row],[Einpressen]]=1,2,IF(Tabelle1[[#This Row],[Werkzeuglos]]=1,3,0)))=select!$E$7,1,0)</f>
        <v>1</v>
      </c>
      <c r="I562" s="46">
        <f ca="1">IF(Tabelle1[[#This Row],[Winkel]]+Tabelle1[[#This Row],[Kröpfung]]+Tabelle1[[#This Row],[Däpfung]]+Tabelle1[[#This Row],[Bohrbild]]+Tabelle1[[#This Row],[Scharnierbefestigung]]=5,1,0)</f>
        <v>0</v>
      </c>
      <c r="J562" t="str">
        <f ca="1">Sprache!$A$53</f>
        <v>TIOMOS hinge T-Click-on</v>
      </c>
      <c r="K562" t="str">
        <f ca="1">"95°, S-BB, K95, "&amp;Sprache!A59&amp;", ni"</f>
        <v>95°, S-BB, K95, Dowel, ni</v>
      </c>
      <c r="L562" t="str">
        <f ca="1">Sprache!$A$63</f>
        <v>TIOMOS Click-on hinges</v>
      </c>
      <c r="M562">
        <v>9.5</v>
      </c>
      <c r="N562" t="s">
        <v>15</v>
      </c>
      <c r="O562">
        <v>95</v>
      </c>
      <c r="P562">
        <v>0</v>
      </c>
      <c r="Q562">
        <v>1</v>
      </c>
      <c r="R562">
        <v>0</v>
      </c>
      <c r="S562">
        <v>0</v>
      </c>
      <c r="T562">
        <v>1</v>
      </c>
      <c r="U562">
        <v>0</v>
      </c>
      <c r="V562" s="14" t="s">
        <v>617</v>
      </c>
    </row>
    <row r="563" spans="1:22" ht="14.25" customHeight="1" x14ac:dyDescent="0.25">
      <c r="A563" s="48" t="str">
        <f>LEFT(Tabelle1[[#This Row],[Artikel'#]],4)</f>
        <v>F045</v>
      </c>
      <c r="B563" s="46" t="str">
        <f>MID(Tabelle1[[#This Row],[Artikel'#]],5,3)</f>
        <v>138</v>
      </c>
      <c r="C563" s="48" t="str">
        <f>RIGHT(Tabelle1[[#This Row],[Artikel'#]],3)</f>
        <v>876</v>
      </c>
      <c r="D563" s="46">
        <f>IF(Tabelle1[[#This Row],[Winkel2]]=select!$A$2,1,0)</f>
        <v>0</v>
      </c>
      <c r="E5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3" s="46">
        <f>IF(select!$E$16=IF(Tabelle1[[#This Row],[mit Dämpfung]]=1,1,IF(Tabelle1[[#This Row],[ohne Dämpfung]]=1,2,IF(Tabelle1[[#This Row],[ohne Feder]]=1,3,0))),1,0)</f>
        <v>0</v>
      </c>
      <c r="G563" s="46">
        <f>IF(Tabelle1[[#This Row],[Links]]=select!$I$2,1,0)</f>
        <v>0</v>
      </c>
      <c r="H563" s="46">
        <f>IF(IF(Tabelle1[[#This Row],[Anschrauben]]=1,1,IF(Tabelle1[[#This Row],[Einpressen]]=1,2,IF(Tabelle1[[#This Row],[Werkzeuglos]]=1,3,0)))=select!$E$7,1,0)</f>
        <v>1</v>
      </c>
      <c r="I563" s="46">
        <f ca="1">IF(Tabelle1[[#This Row],[Winkel]]+Tabelle1[[#This Row],[Kröpfung]]+Tabelle1[[#This Row],[Däpfung]]+Tabelle1[[#This Row],[Bohrbild]]+Tabelle1[[#This Row],[Scharnierbefestigung]]=5,1,0)</f>
        <v>0</v>
      </c>
      <c r="J563" t="str">
        <f ca="1">Sprache!$A$53</f>
        <v>TIOMOS hinge T-Click-on</v>
      </c>
      <c r="K563" t="str">
        <f ca="1">"95°, S-BB, K19, "&amp;Sprache!A59&amp;", ni"</f>
        <v>95°, S-BB, K19, Dowel, ni</v>
      </c>
      <c r="L563" t="str">
        <f ca="1">Sprache!$A$63</f>
        <v>TIOMOS Click-on hinges</v>
      </c>
      <c r="M563">
        <v>19</v>
      </c>
      <c r="N563" t="s">
        <v>15</v>
      </c>
      <c r="O563">
        <v>95</v>
      </c>
      <c r="P563">
        <v>0</v>
      </c>
      <c r="Q563">
        <v>1</v>
      </c>
      <c r="R563">
        <v>0</v>
      </c>
      <c r="S563">
        <v>0</v>
      </c>
      <c r="T563">
        <v>1</v>
      </c>
      <c r="U563">
        <v>0</v>
      </c>
      <c r="V563" s="14" t="s">
        <v>618</v>
      </c>
    </row>
    <row r="564" spans="1:22" ht="14.25" customHeight="1" x14ac:dyDescent="0.25">
      <c r="A564" s="48" t="str">
        <f>LEFT(Tabelle1[[#This Row],[Artikel'#]],4)</f>
        <v>F045</v>
      </c>
      <c r="B564" s="46" t="str">
        <f>MID(Tabelle1[[#This Row],[Artikel'#]],5,3)</f>
        <v>139</v>
      </c>
      <c r="C564" s="48" t="str">
        <f>RIGHT(Tabelle1[[#This Row],[Artikel'#]],3)</f>
        <v>019</v>
      </c>
      <c r="D564" s="46">
        <f>IF(Tabelle1[[#This Row],[Winkel2]]=select!$A$2,1,0)</f>
        <v>0</v>
      </c>
      <c r="E5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4" s="46">
        <f>IF(select!$E$16=IF(Tabelle1[[#This Row],[mit Dämpfung]]=1,1,IF(Tabelle1[[#This Row],[ohne Dämpfung]]=1,2,IF(Tabelle1[[#This Row],[ohne Feder]]=1,3,0))),1,0)</f>
        <v>0</v>
      </c>
      <c r="G564" s="46">
        <f>IF(Tabelle1[[#This Row],[Links]]=select!$I$2,1,0)</f>
        <v>0</v>
      </c>
      <c r="H564" s="46">
        <f>IF(IF(Tabelle1[[#This Row],[Anschrauben]]=1,1,IF(Tabelle1[[#This Row],[Einpressen]]=1,2,IF(Tabelle1[[#This Row],[Werkzeuglos]]=1,3,0)))=select!$E$7,1,0)</f>
        <v>0</v>
      </c>
      <c r="I564" s="46">
        <f ca="1">IF(Tabelle1[[#This Row],[Winkel]]+Tabelle1[[#This Row],[Kröpfung]]+Tabelle1[[#This Row],[Däpfung]]+Tabelle1[[#This Row],[Bohrbild]]+Tabelle1[[#This Row],[Scharnierbefestigung]]=5,1,0)</f>
        <v>0</v>
      </c>
      <c r="J564" t="str">
        <f ca="1">Sprache!$A$53</f>
        <v>TIOMOS hinge T-Click-on</v>
      </c>
      <c r="K564" t="s">
        <v>466</v>
      </c>
      <c r="L564" t="str">
        <f ca="1">Sprache!$A$63</f>
        <v>TIOMOS Click-on hinges</v>
      </c>
      <c r="M564">
        <v>19</v>
      </c>
      <c r="N564" t="s">
        <v>12</v>
      </c>
      <c r="O564">
        <v>120</v>
      </c>
      <c r="P564">
        <v>0</v>
      </c>
      <c r="Q564">
        <v>1</v>
      </c>
      <c r="R564">
        <v>0</v>
      </c>
      <c r="S564">
        <v>1</v>
      </c>
      <c r="T564">
        <v>0</v>
      </c>
      <c r="U564">
        <v>0</v>
      </c>
      <c r="V564" s="14" t="s">
        <v>619</v>
      </c>
    </row>
    <row r="565" spans="1:22" ht="14.25" customHeight="1" x14ac:dyDescent="0.25">
      <c r="A565" s="48" t="str">
        <f>LEFT(Tabelle1[[#This Row],[Artikel'#]],4)</f>
        <v>F045</v>
      </c>
      <c r="B565" s="46" t="str">
        <f>MID(Tabelle1[[#This Row],[Artikel'#]],5,3)</f>
        <v>139</v>
      </c>
      <c r="C565" s="48" t="str">
        <f>RIGHT(Tabelle1[[#This Row],[Artikel'#]],3)</f>
        <v>020</v>
      </c>
      <c r="D565" s="46">
        <f>IF(Tabelle1[[#This Row],[Winkel2]]=select!$A$2,1,0)</f>
        <v>0</v>
      </c>
      <c r="E5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5" s="46">
        <f>IF(select!$E$16=IF(Tabelle1[[#This Row],[mit Dämpfung]]=1,1,IF(Tabelle1[[#This Row],[ohne Dämpfung]]=1,2,IF(Tabelle1[[#This Row],[ohne Feder]]=1,3,0))),1,0)</f>
        <v>0</v>
      </c>
      <c r="G565" s="46">
        <f>IF(Tabelle1[[#This Row],[Links]]=select!$I$2,1,0)</f>
        <v>0</v>
      </c>
      <c r="H565" s="46">
        <f>IF(IF(Tabelle1[[#This Row],[Anschrauben]]=1,1,IF(Tabelle1[[#This Row],[Einpressen]]=1,2,IF(Tabelle1[[#This Row],[Werkzeuglos]]=1,3,0)))=select!$E$7,1,0)</f>
        <v>1</v>
      </c>
      <c r="I565" s="46">
        <f ca="1">IF(Tabelle1[[#This Row],[Winkel]]+Tabelle1[[#This Row],[Kröpfung]]+Tabelle1[[#This Row],[Däpfung]]+Tabelle1[[#This Row],[Bohrbild]]+Tabelle1[[#This Row],[Scharnierbefestigung]]=5,1,0)</f>
        <v>0</v>
      </c>
      <c r="J565" t="str">
        <f ca="1">Sprache!$A$53</f>
        <v>TIOMOS hinge T-Click-on</v>
      </c>
      <c r="K565" t="str">
        <f ca="1">"120°, M-BB, K19, "&amp;Sprache!A59&amp;", ni"</f>
        <v>120°, M-BB, K19, Dowel, ni</v>
      </c>
      <c r="L565" t="str">
        <f ca="1">Sprache!$A$63</f>
        <v>TIOMOS Click-on hinges</v>
      </c>
      <c r="M565">
        <v>19</v>
      </c>
      <c r="N565" t="s">
        <v>12</v>
      </c>
      <c r="O565">
        <v>120</v>
      </c>
      <c r="P565">
        <v>0</v>
      </c>
      <c r="Q565">
        <v>1</v>
      </c>
      <c r="R565">
        <v>0</v>
      </c>
      <c r="S565">
        <v>0</v>
      </c>
      <c r="T565">
        <v>1</v>
      </c>
      <c r="U565">
        <v>0</v>
      </c>
      <c r="V565" s="14" t="s">
        <v>620</v>
      </c>
    </row>
    <row r="566" spans="1:22" ht="14.25" customHeight="1" x14ac:dyDescent="0.25">
      <c r="A566" s="48" t="str">
        <f>LEFT(Tabelle1[[#This Row],[Artikel'#]],4)</f>
        <v>F045</v>
      </c>
      <c r="B566" s="46" t="str">
        <f>MID(Tabelle1[[#This Row],[Artikel'#]],5,3)</f>
        <v>139</v>
      </c>
      <c r="C566" s="48" t="str">
        <f>RIGHT(Tabelle1[[#This Row],[Artikel'#]],3)</f>
        <v>024</v>
      </c>
      <c r="D566" s="46">
        <f>IF(Tabelle1[[#This Row],[Winkel2]]=select!$A$2,1,0)</f>
        <v>0</v>
      </c>
      <c r="E5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6" s="46">
        <f>IF(select!$E$16=IF(Tabelle1[[#This Row],[mit Dämpfung]]=1,1,IF(Tabelle1[[#This Row],[ohne Dämpfung]]=1,2,IF(Tabelle1[[#This Row],[ohne Feder]]=1,3,0))),1,0)</f>
        <v>0</v>
      </c>
      <c r="G566" s="46">
        <f>IF(Tabelle1[[#This Row],[Links]]=select!$I$2,1,0)</f>
        <v>0</v>
      </c>
      <c r="H566" s="46">
        <f>IF(IF(Tabelle1[[#This Row],[Anschrauben]]=1,1,IF(Tabelle1[[#This Row],[Einpressen]]=1,2,IF(Tabelle1[[#This Row],[Werkzeuglos]]=1,3,0)))=select!$E$7,1,0)</f>
        <v>0</v>
      </c>
      <c r="I566" s="46">
        <f ca="1">IF(Tabelle1[[#This Row],[Winkel]]+Tabelle1[[#This Row],[Kröpfung]]+Tabelle1[[#This Row],[Däpfung]]+Tabelle1[[#This Row],[Bohrbild]]+Tabelle1[[#This Row],[Scharnierbefestigung]]=5,1,0)</f>
        <v>0</v>
      </c>
      <c r="J566" t="str">
        <f ca="1">Sprache!$A$53</f>
        <v>TIOMOS hinge T-Click-on</v>
      </c>
      <c r="K566" t="s">
        <v>469</v>
      </c>
      <c r="L566" t="str">
        <f ca="1">Sprache!$A$63</f>
        <v>TIOMOS Click-on hinges</v>
      </c>
      <c r="M566">
        <v>19</v>
      </c>
      <c r="N566" t="s">
        <v>14</v>
      </c>
      <c r="O566">
        <v>120</v>
      </c>
      <c r="P566">
        <v>0</v>
      </c>
      <c r="Q566">
        <v>1</v>
      </c>
      <c r="R566">
        <v>0</v>
      </c>
      <c r="S566">
        <v>1</v>
      </c>
      <c r="T566">
        <v>0</v>
      </c>
      <c r="U566">
        <v>0</v>
      </c>
      <c r="V566" s="14" t="s">
        <v>621</v>
      </c>
    </row>
    <row r="567" spans="1:22" ht="14.25" customHeight="1" x14ac:dyDescent="0.25">
      <c r="A567" s="48" t="str">
        <f>LEFT(Tabelle1[[#This Row],[Artikel'#]],4)</f>
        <v>F045</v>
      </c>
      <c r="B567" s="46" t="str">
        <f>MID(Tabelle1[[#This Row],[Artikel'#]],5,3)</f>
        <v>139</v>
      </c>
      <c r="C567" s="48" t="str">
        <f>RIGHT(Tabelle1[[#This Row],[Artikel'#]],3)</f>
        <v>025</v>
      </c>
      <c r="D567" s="46">
        <f>IF(Tabelle1[[#This Row],[Winkel2]]=select!$A$2,1,0)</f>
        <v>0</v>
      </c>
      <c r="E5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7" s="46">
        <f>IF(select!$E$16=IF(Tabelle1[[#This Row],[mit Dämpfung]]=1,1,IF(Tabelle1[[#This Row],[ohne Dämpfung]]=1,2,IF(Tabelle1[[#This Row],[ohne Feder]]=1,3,0))),1,0)</f>
        <v>0</v>
      </c>
      <c r="G567" s="46">
        <f>IF(Tabelle1[[#This Row],[Links]]=select!$I$2,1,0)</f>
        <v>0</v>
      </c>
      <c r="H567" s="46">
        <f>IF(IF(Tabelle1[[#This Row],[Anschrauben]]=1,1,IF(Tabelle1[[#This Row],[Einpressen]]=1,2,IF(Tabelle1[[#This Row],[Werkzeuglos]]=1,3,0)))=select!$E$7,1,0)</f>
        <v>1</v>
      </c>
      <c r="I567" s="46">
        <f ca="1">IF(Tabelle1[[#This Row],[Winkel]]+Tabelle1[[#This Row],[Kröpfung]]+Tabelle1[[#This Row],[Däpfung]]+Tabelle1[[#This Row],[Bohrbild]]+Tabelle1[[#This Row],[Scharnierbefestigung]]=5,1,0)</f>
        <v>0</v>
      </c>
      <c r="J567" t="str">
        <f ca="1">Sprache!$A$53</f>
        <v>TIOMOS hinge T-Click-on</v>
      </c>
      <c r="K567" t="str">
        <f ca="1">"120°, H-BB, K19, "&amp;Sprache!A59&amp;", ni"</f>
        <v>120°, H-BB, K19, Dowel, ni</v>
      </c>
      <c r="L567" t="str">
        <f ca="1">Sprache!$A$63</f>
        <v>TIOMOS Click-on hinges</v>
      </c>
      <c r="M567">
        <v>19</v>
      </c>
      <c r="N567" t="s">
        <v>14</v>
      </c>
      <c r="O567">
        <v>120</v>
      </c>
      <c r="P567">
        <v>0</v>
      </c>
      <c r="Q567">
        <v>1</v>
      </c>
      <c r="R567">
        <v>0</v>
      </c>
      <c r="S567">
        <v>0</v>
      </c>
      <c r="T567">
        <v>1</v>
      </c>
      <c r="U567">
        <v>0</v>
      </c>
      <c r="V567" s="14" t="s">
        <v>622</v>
      </c>
    </row>
    <row r="568" spans="1:22" ht="14.25" customHeight="1" x14ac:dyDescent="0.25">
      <c r="A568" s="48" t="str">
        <f>LEFT(Tabelle1[[#This Row],[Artikel'#]],4)</f>
        <v>F045</v>
      </c>
      <c r="B568" s="46" t="str">
        <f>MID(Tabelle1[[#This Row],[Artikel'#]],5,3)</f>
        <v>139</v>
      </c>
      <c r="C568" s="48" t="str">
        <f>RIGHT(Tabelle1[[#This Row],[Artikel'#]],3)</f>
        <v>029</v>
      </c>
      <c r="D568" s="46">
        <f>IF(Tabelle1[[#This Row],[Winkel2]]=select!$A$2,1,0)</f>
        <v>0</v>
      </c>
      <c r="E5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8" s="46">
        <f>IF(select!$E$16=IF(Tabelle1[[#This Row],[mit Dämpfung]]=1,1,IF(Tabelle1[[#This Row],[ohne Dämpfung]]=1,2,IF(Tabelle1[[#This Row],[ohne Feder]]=1,3,0))),1,0)</f>
        <v>0</v>
      </c>
      <c r="G568" s="46">
        <f>IF(Tabelle1[[#This Row],[Links]]=select!$I$2,1,0)</f>
        <v>0</v>
      </c>
      <c r="H568" s="46">
        <f>IF(IF(Tabelle1[[#This Row],[Anschrauben]]=1,1,IF(Tabelle1[[#This Row],[Einpressen]]=1,2,IF(Tabelle1[[#This Row],[Werkzeuglos]]=1,3,0)))=select!$E$7,1,0)</f>
        <v>0</v>
      </c>
      <c r="I568" s="46">
        <f ca="1">IF(Tabelle1[[#This Row],[Winkel]]+Tabelle1[[#This Row],[Kröpfung]]+Tabelle1[[#This Row],[Däpfung]]+Tabelle1[[#This Row],[Bohrbild]]+Tabelle1[[#This Row],[Scharnierbefestigung]]=5,1,0)</f>
        <v>0</v>
      </c>
      <c r="J568" t="str">
        <f ca="1">Sprache!$A$53</f>
        <v>TIOMOS hinge T-Click-on</v>
      </c>
      <c r="K568" t="s">
        <v>472</v>
      </c>
      <c r="L568" t="str">
        <f ca="1">Sprache!$A$63</f>
        <v>TIOMOS Click-on hinges</v>
      </c>
      <c r="M568">
        <v>19</v>
      </c>
      <c r="N568" t="s">
        <v>13</v>
      </c>
      <c r="O568">
        <v>120</v>
      </c>
      <c r="P568">
        <v>0</v>
      </c>
      <c r="Q568">
        <v>1</v>
      </c>
      <c r="R568">
        <v>0</v>
      </c>
      <c r="S568">
        <v>1</v>
      </c>
      <c r="T568">
        <v>0</v>
      </c>
      <c r="U568">
        <v>0</v>
      </c>
      <c r="V568" s="14" t="s">
        <v>623</v>
      </c>
    </row>
    <row r="569" spans="1:22" ht="14.25" customHeight="1" x14ac:dyDescent="0.25">
      <c r="A569" s="48" t="str">
        <f>LEFT(Tabelle1[[#This Row],[Artikel'#]],4)</f>
        <v>F045</v>
      </c>
      <c r="B569" s="46" t="str">
        <f>MID(Tabelle1[[#This Row],[Artikel'#]],5,3)</f>
        <v>139</v>
      </c>
      <c r="C569" s="48" t="str">
        <f>RIGHT(Tabelle1[[#This Row],[Artikel'#]],3)</f>
        <v>030</v>
      </c>
      <c r="D569" s="46">
        <f>IF(Tabelle1[[#This Row],[Winkel2]]=select!$A$2,1,0)</f>
        <v>0</v>
      </c>
      <c r="E5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69" s="46">
        <f>IF(select!$E$16=IF(Tabelle1[[#This Row],[mit Dämpfung]]=1,1,IF(Tabelle1[[#This Row],[ohne Dämpfung]]=1,2,IF(Tabelle1[[#This Row],[ohne Feder]]=1,3,0))),1,0)</f>
        <v>0</v>
      </c>
      <c r="G569" s="46">
        <f>IF(Tabelle1[[#This Row],[Links]]=select!$I$2,1,0)</f>
        <v>0</v>
      </c>
      <c r="H569" s="46">
        <f>IF(IF(Tabelle1[[#This Row],[Anschrauben]]=1,1,IF(Tabelle1[[#This Row],[Einpressen]]=1,2,IF(Tabelle1[[#This Row],[Werkzeuglos]]=1,3,0)))=select!$E$7,1,0)</f>
        <v>1</v>
      </c>
      <c r="I569" s="46">
        <f ca="1">IF(Tabelle1[[#This Row],[Winkel]]+Tabelle1[[#This Row],[Kröpfung]]+Tabelle1[[#This Row],[Däpfung]]+Tabelle1[[#This Row],[Bohrbild]]+Tabelle1[[#This Row],[Scharnierbefestigung]]=5,1,0)</f>
        <v>0</v>
      </c>
      <c r="J569" t="str">
        <f ca="1">Sprache!$A$53</f>
        <v>TIOMOS hinge T-Click-on</v>
      </c>
      <c r="K569" t="str">
        <f ca="1">"120°, G-BB, K19, "&amp;Sprache!A59&amp;", ni"</f>
        <v>120°, G-BB, K19, Dowel, ni</v>
      </c>
      <c r="L569" t="str">
        <f ca="1">Sprache!$A$63</f>
        <v>TIOMOS Click-on hinges</v>
      </c>
      <c r="M569">
        <v>19</v>
      </c>
      <c r="N569" t="s">
        <v>13</v>
      </c>
      <c r="O569">
        <v>120</v>
      </c>
      <c r="P569">
        <v>0</v>
      </c>
      <c r="Q569">
        <v>1</v>
      </c>
      <c r="R569">
        <v>0</v>
      </c>
      <c r="S569">
        <v>0</v>
      </c>
      <c r="T569">
        <v>1</v>
      </c>
      <c r="U569">
        <v>0</v>
      </c>
      <c r="V569" s="14" t="s">
        <v>624</v>
      </c>
    </row>
    <row r="570" spans="1:22" ht="14.25" customHeight="1" x14ac:dyDescent="0.25">
      <c r="A570" s="48" t="str">
        <f>LEFT(Tabelle1[[#This Row],[Artikel'#]],4)</f>
        <v>F045</v>
      </c>
      <c r="B570" s="46" t="str">
        <f>MID(Tabelle1[[#This Row],[Artikel'#]],5,3)</f>
        <v>139</v>
      </c>
      <c r="C570" s="48" t="str">
        <f>RIGHT(Tabelle1[[#This Row],[Artikel'#]],3)</f>
        <v>034</v>
      </c>
      <c r="D570" s="46">
        <f>IF(Tabelle1[[#This Row],[Winkel2]]=select!$A$2,1,0)</f>
        <v>0</v>
      </c>
      <c r="E5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0" s="46">
        <f>IF(select!$E$16=IF(Tabelle1[[#This Row],[mit Dämpfung]]=1,1,IF(Tabelle1[[#This Row],[ohne Dämpfung]]=1,2,IF(Tabelle1[[#This Row],[ohne Feder]]=1,3,0))),1,0)</f>
        <v>0</v>
      </c>
      <c r="G570" s="46">
        <f>IF(Tabelle1[[#This Row],[Links]]=select!$I$2,1,0)</f>
        <v>0</v>
      </c>
      <c r="H570" s="46">
        <f>IF(IF(Tabelle1[[#This Row],[Anschrauben]]=1,1,IF(Tabelle1[[#This Row],[Einpressen]]=1,2,IF(Tabelle1[[#This Row],[Werkzeuglos]]=1,3,0)))=select!$E$7,1,0)</f>
        <v>0</v>
      </c>
      <c r="I570" s="46">
        <f ca="1">IF(Tabelle1[[#This Row],[Winkel]]+Tabelle1[[#This Row],[Kröpfung]]+Tabelle1[[#This Row],[Däpfung]]+Tabelle1[[#This Row],[Bohrbild]]+Tabelle1[[#This Row],[Scharnierbefestigung]]=5,1,0)</f>
        <v>0</v>
      </c>
      <c r="J570" t="str">
        <f ca="1">Sprache!$A$53</f>
        <v>TIOMOS hinge T-Click-on</v>
      </c>
      <c r="K570" t="s">
        <v>475</v>
      </c>
      <c r="L570" t="str">
        <f ca="1">Sprache!$A$63</f>
        <v>TIOMOS Click-on hinges</v>
      </c>
      <c r="M570">
        <v>19</v>
      </c>
      <c r="N570" t="s">
        <v>15</v>
      </c>
      <c r="O570">
        <v>120</v>
      </c>
      <c r="P570">
        <v>0</v>
      </c>
      <c r="Q570">
        <v>1</v>
      </c>
      <c r="R570">
        <v>0</v>
      </c>
      <c r="S570">
        <v>1</v>
      </c>
      <c r="T570">
        <v>0</v>
      </c>
      <c r="U570">
        <v>0</v>
      </c>
      <c r="V570" s="14" t="s">
        <v>625</v>
      </c>
    </row>
    <row r="571" spans="1:22" ht="14.25" customHeight="1" x14ac:dyDescent="0.25">
      <c r="A571" s="48" t="str">
        <f>LEFT(Tabelle1[[#This Row],[Artikel'#]],4)</f>
        <v>F045</v>
      </c>
      <c r="B571" s="46" t="str">
        <f>MID(Tabelle1[[#This Row],[Artikel'#]],5,3)</f>
        <v>139</v>
      </c>
      <c r="C571" s="48" t="str">
        <f>RIGHT(Tabelle1[[#This Row],[Artikel'#]],3)</f>
        <v>035</v>
      </c>
      <c r="D571" s="46">
        <f>IF(Tabelle1[[#This Row],[Winkel2]]=select!$A$2,1,0)</f>
        <v>0</v>
      </c>
      <c r="E5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1" s="46">
        <f>IF(select!$E$16=IF(Tabelle1[[#This Row],[mit Dämpfung]]=1,1,IF(Tabelle1[[#This Row],[ohne Dämpfung]]=1,2,IF(Tabelle1[[#This Row],[ohne Feder]]=1,3,0))),1,0)</f>
        <v>0</v>
      </c>
      <c r="G571" s="46">
        <f>IF(Tabelle1[[#This Row],[Links]]=select!$I$2,1,0)</f>
        <v>0</v>
      </c>
      <c r="H571" s="46">
        <f>IF(IF(Tabelle1[[#This Row],[Anschrauben]]=1,1,IF(Tabelle1[[#This Row],[Einpressen]]=1,2,IF(Tabelle1[[#This Row],[Werkzeuglos]]=1,3,0)))=select!$E$7,1,0)</f>
        <v>1</v>
      </c>
      <c r="I571" s="46">
        <f ca="1">IF(Tabelle1[[#This Row],[Winkel]]+Tabelle1[[#This Row],[Kröpfung]]+Tabelle1[[#This Row],[Däpfung]]+Tabelle1[[#This Row],[Bohrbild]]+Tabelle1[[#This Row],[Scharnierbefestigung]]=5,1,0)</f>
        <v>0</v>
      </c>
      <c r="J571" t="str">
        <f ca="1">Sprache!$A$53</f>
        <v>TIOMOS hinge T-Click-on</v>
      </c>
      <c r="K571" t="str">
        <f ca="1">"120°, S-BB, K19, "&amp;Sprache!A59&amp;", ni"</f>
        <v>120°, S-BB, K19, Dowel, ni</v>
      </c>
      <c r="L571" t="str">
        <f ca="1">Sprache!$A$63</f>
        <v>TIOMOS Click-on hinges</v>
      </c>
      <c r="M571">
        <v>19</v>
      </c>
      <c r="N571" t="s">
        <v>15</v>
      </c>
      <c r="O571">
        <v>120</v>
      </c>
      <c r="P571">
        <v>0</v>
      </c>
      <c r="Q571">
        <v>1</v>
      </c>
      <c r="R571">
        <v>0</v>
      </c>
      <c r="S571">
        <v>0</v>
      </c>
      <c r="T571">
        <v>1</v>
      </c>
      <c r="U571">
        <v>0</v>
      </c>
      <c r="V571" s="14" t="s">
        <v>626</v>
      </c>
    </row>
    <row r="572" spans="1:22" ht="14.25" customHeight="1" x14ac:dyDescent="0.25">
      <c r="A572" s="48" t="str">
        <f>LEFT(Tabelle1[[#This Row],[Artikel'#]],4)</f>
        <v>F045</v>
      </c>
      <c r="B572" s="46" t="str">
        <f>MID(Tabelle1[[#This Row],[Artikel'#]],5,3)</f>
        <v>139</v>
      </c>
      <c r="C572" s="48" t="str">
        <f>RIGHT(Tabelle1[[#This Row],[Artikel'#]],3)</f>
        <v>039</v>
      </c>
      <c r="D572" s="46">
        <f>IF(Tabelle1[[#This Row],[Winkel2]]=select!$A$2,1,0)</f>
        <v>1</v>
      </c>
      <c r="E5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2" s="46">
        <f>IF(select!$E$16=IF(Tabelle1[[#This Row],[mit Dämpfung]]=1,1,IF(Tabelle1[[#This Row],[ohne Dämpfung]]=1,2,IF(Tabelle1[[#This Row],[ohne Feder]]=1,3,0))),1,0)</f>
        <v>0</v>
      </c>
      <c r="G572" s="46">
        <f>IF(Tabelle1[[#This Row],[Links]]=select!$I$2,1,0)</f>
        <v>0</v>
      </c>
      <c r="H572" s="46">
        <f>IF(IF(Tabelle1[[#This Row],[Anschrauben]]=1,1,IF(Tabelle1[[#This Row],[Einpressen]]=1,2,IF(Tabelle1[[#This Row],[Werkzeuglos]]=1,3,0)))=select!$E$7,1,0)</f>
        <v>0</v>
      </c>
      <c r="I572" s="46">
        <f ca="1">IF(Tabelle1[[#This Row],[Winkel]]+Tabelle1[[#This Row],[Kröpfung]]+Tabelle1[[#This Row],[Däpfung]]+Tabelle1[[#This Row],[Bohrbild]]+Tabelle1[[#This Row],[Scharnierbefestigung]]=5,1,0)</f>
        <v>0</v>
      </c>
      <c r="J572" t="str">
        <f ca="1">Sprache!$A$53</f>
        <v>TIOMOS hinge T-Click-on</v>
      </c>
      <c r="K572" t="str">
        <f ca="1">"110°, M-BB, K03, "&amp;Sprache!A61&amp;", ni"</f>
        <v>110°, M-BB, K03, Multilock, ni</v>
      </c>
      <c r="L572" t="str">
        <f ca="1">Sprache!$A$63</f>
        <v>TIOMOS Click-on hinges</v>
      </c>
      <c r="M572">
        <v>3</v>
      </c>
      <c r="N572" t="s">
        <v>12</v>
      </c>
      <c r="O572">
        <v>110</v>
      </c>
      <c r="P572">
        <v>0</v>
      </c>
      <c r="Q572">
        <v>1</v>
      </c>
      <c r="R572">
        <v>0</v>
      </c>
      <c r="S572">
        <v>1</v>
      </c>
      <c r="T572">
        <v>0</v>
      </c>
      <c r="U572">
        <v>0</v>
      </c>
      <c r="V572" s="14" t="s">
        <v>627</v>
      </c>
    </row>
    <row r="573" spans="1:22" ht="14.25" customHeight="1" x14ac:dyDescent="0.25">
      <c r="A573" s="48" t="str">
        <f>LEFT(Tabelle1[[#This Row],[Artikel'#]],4)</f>
        <v>F045</v>
      </c>
      <c r="B573" s="46" t="str">
        <f>MID(Tabelle1[[#This Row],[Artikel'#]],5,3)</f>
        <v>139</v>
      </c>
      <c r="C573" s="48" t="str">
        <f>RIGHT(Tabelle1[[#This Row],[Artikel'#]],3)</f>
        <v>043</v>
      </c>
      <c r="D573" s="46">
        <f>IF(Tabelle1[[#This Row],[Winkel2]]=select!$A$2,1,0)</f>
        <v>1</v>
      </c>
      <c r="E5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3" s="46">
        <f>IF(select!$E$16=IF(Tabelle1[[#This Row],[mit Dämpfung]]=1,1,IF(Tabelle1[[#This Row],[ohne Dämpfung]]=1,2,IF(Tabelle1[[#This Row],[ohne Feder]]=1,3,0))),1,0)</f>
        <v>0</v>
      </c>
      <c r="G573" s="46">
        <f>IF(Tabelle1[[#This Row],[Links]]=select!$I$2,1,0)</f>
        <v>1</v>
      </c>
      <c r="H573" s="46">
        <f>IF(IF(Tabelle1[[#This Row],[Anschrauben]]=1,1,IF(Tabelle1[[#This Row],[Einpressen]]=1,2,IF(Tabelle1[[#This Row],[Werkzeuglos]]=1,3,0)))=select!$E$7,1,0)</f>
        <v>0</v>
      </c>
      <c r="I573" s="46">
        <f ca="1">IF(Tabelle1[[#This Row],[Winkel]]+Tabelle1[[#This Row],[Kröpfung]]+Tabelle1[[#This Row],[Däpfung]]+Tabelle1[[#This Row],[Bohrbild]]+Tabelle1[[#This Row],[Scharnierbefestigung]]=5,1,0)</f>
        <v>0</v>
      </c>
      <c r="J573" t="str">
        <f ca="1">Sprache!$A$52</f>
        <v>hinge T Click on 110°</v>
      </c>
      <c r="K573" t="str">
        <f ca="1">"B-BB, K03, 8mm "&amp;Sprache!A60&amp;", ni"</f>
        <v>B-BB, K03, 8mm Spread dowel, ni</v>
      </c>
      <c r="L573" t="str">
        <f ca="1">Sprache!$A$63</f>
        <v>TIOMOS Click-on hinges</v>
      </c>
      <c r="M573">
        <v>3</v>
      </c>
      <c r="N573" t="s">
        <v>3</v>
      </c>
      <c r="O573">
        <v>110</v>
      </c>
      <c r="P573">
        <v>0</v>
      </c>
      <c r="Q573">
        <v>0</v>
      </c>
      <c r="R573">
        <v>0</v>
      </c>
      <c r="S573">
        <v>1</v>
      </c>
      <c r="T573">
        <v>0</v>
      </c>
      <c r="U573">
        <v>0</v>
      </c>
      <c r="V573" s="14" t="s">
        <v>628</v>
      </c>
    </row>
    <row r="574" spans="1:22" ht="14.25" customHeight="1" x14ac:dyDescent="0.25">
      <c r="A574" s="48" t="str">
        <f>LEFT(Tabelle1[[#This Row],[Artikel'#]],4)</f>
        <v>F046</v>
      </c>
      <c r="B574" s="46" t="str">
        <f>MID(Tabelle1[[#This Row],[Artikel'#]],5,3)</f>
        <v>138</v>
      </c>
      <c r="C574" s="48" t="str">
        <f>RIGHT(Tabelle1[[#This Row],[Artikel'#]],3)</f>
        <v>184</v>
      </c>
      <c r="D574" s="46">
        <f>IF(Tabelle1[[#This Row],[Winkel2]]=select!$A$2,1,0)</f>
        <v>1</v>
      </c>
      <c r="E5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4" s="46">
        <f>IF(select!$E$16=IF(Tabelle1[[#This Row],[mit Dämpfung]]=1,1,IF(Tabelle1[[#This Row],[ohne Dämpfung]]=1,2,IF(Tabelle1[[#This Row],[ohne Feder]]=1,3,0))),1,0)</f>
        <v>0</v>
      </c>
      <c r="G574" s="46">
        <f>IF(Tabelle1[[#This Row],[Links]]=select!$I$2,1,0)</f>
        <v>0</v>
      </c>
      <c r="H574" s="46">
        <f>IF(IF(Tabelle1[[#This Row],[Anschrauben]]=1,1,IF(Tabelle1[[#This Row],[Einpressen]]=1,2,IF(Tabelle1[[#This Row],[Werkzeuglos]]=1,3,0)))=select!$E$7,1,0)</f>
        <v>0</v>
      </c>
      <c r="I574" s="46">
        <f ca="1">IF(Tabelle1[[#This Row],[Winkel]]+Tabelle1[[#This Row],[Kröpfung]]+Tabelle1[[#This Row],[Däpfung]]+Tabelle1[[#This Row],[Bohrbild]]+Tabelle1[[#This Row],[Scharnierbefestigung]]=5,1,0)</f>
        <v>0</v>
      </c>
      <c r="J574" t="str">
        <f ca="1">Sprache!$A$57</f>
        <v>TIOMOS hinge TT-Click-on</v>
      </c>
      <c r="K574" t="s">
        <v>254</v>
      </c>
      <c r="L574" t="str">
        <f ca="1">Sprache!$A$63</f>
        <v>TIOMOS Click-on hinges</v>
      </c>
      <c r="M574">
        <v>0</v>
      </c>
      <c r="N574" t="s">
        <v>12</v>
      </c>
      <c r="O574">
        <v>110</v>
      </c>
      <c r="P574">
        <v>0</v>
      </c>
      <c r="Q574">
        <v>0</v>
      </c>
      <c r="R574">
        <v>1</v>
      </c>
      <c r="S574">
        <v>1</v>
      </c>
      <c r="T574">
        <v>0</v>
      </c>
      <c r="U574">
        <v>0</v>
      </c>
      <c r="V574" s="14" t="s">
        <v>630</v>
      </c>
    </row>
    <row r="575" spans="1:22" ht="14.25" customHeight="1" x14ac:dyDescent="0.25">
      <c r="A575" s="48" t="str">
        <f>LEFT(Tabelle1[[#This Row],[Artikel'#]],4)</f>
        <v>F046</v>
      </c>
      <c r="B575" s="46" t="str">
        <f>MID(Tabelle1[[#This Row],[Artikel'#]],5,3)</f>
        <v>138</v>
      </c>
      <c r="C575" s="48" t="str">
        <f>RIGHT(Tabelle1[[#This Row],[Artikel'#]],3)</f>
        <v>185</v>
      </c>
      <c r="D575" s="46">
        <f>IF(Tabelle1[[#This Row],[Winkel2]]=select!$A$2,1,0)</f>
        <v>1</v>
      </c>
      <c r="E5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5" s="46">
        <f>IF(select!$E$16=IF(Tabelle1[[#This Row],[mit Dämpfung]]=1,1,IF(Tabelle1[[#This Row],[ohne Dämpfung]]=1,2,IF(Tabelle1[[#This Row],[ohne Feder]]=1,3,0))),1,0)</f>
        <v>0</v>
      </c>
      <c r="G575" s="46">
        <f>IF(Tabelle1[[#This Row],[Links]]=select!$I$2,1,0)</f>
        <v>0</v>
      </c>
      <c r="H575" s="46">
        <f>IF(IF(Tabelle1[[#This Row],[Anschrauben]]=1,1,IF(Tabelle1[[#This Row],[Einpressen]]=1,2,IF(Tabelle1[[#This Row],[Werkzeuglos]]=1,3,0)))=select!$E$7,1,0)</f>
        <v>0</v>
      </c>
      <c r="I575" s="46">
        <f ca="1">IF(Tabelle1[[#This Row],[Winkel]]+Tabelle1[[#This Row],[Kröpfung]]+Tabelle1[[#This Row],[Däpfung]]+Tabelle1[[#This Row],[Bohrbild]]+Tabelle1[[#This Row],[Scharnierbefestigung]]=5,1,0)</f>
        <v>0</v>
      </c>
      <c r="J575" t="str">
        <f ca="1">Sprache!$A$57</f>
        <v>TIOMOS hinge TT-Click-on</v>
      </c>
      <c r="K575" t="s">
        <v>257</v>
      </c>
      <c r="L575" t="str">
        <f ca="1">Sprache!$A$63</f>
        <v>TIOMOS Click-on hinges</v>
      </c>
      <c r="M575">
        <v>3</v>
      </c>
      <c r="N575" t="s">
        <v>12</v>
      </c>
      <c r="O575">
        <v>110</v>
      </c>
      <c r="P575">
        <v>0</v>
      </c>
      <c r="Q575">
        <v>0</v>
      </c>
      <c r="R575">
        <v>1</v>
      </c>
      <c r="S575">
        <v>1</v>
      </c>
      <c r="T575">
        <v>0</v>
      </c>
      <c r="U575">
        <v>0</v>
      </c>
      <c r="V575" s="14" t="s">
        <v>632</v>
      </c>
    </row>
    <row r="576" spans="1:22" ht="14.25" customHeight="1" x14ac:dyDescent="0.25">
      <c r="A576" s="48" t="str">
        <f>LEFT(Tabelle1[[#This Row],[Artikel'#]],4)</f>
        <v>F046</v>
      </c>
      <c r="B576" s="46" t="str">
        <f>MID(Tabelle1[[#This Row],[Artikel'#]],5,3)</f>
        <v>138</v>
      </c>
      <c r="C576" s="48" t="str">
        <f>RIGHT(Tabelle1[[#This Row],[Artikel'#]],3)</f>
        <v>186</v>
      </c>
      <c r="D576" s="46">
        <f>IF(Tabelle1[[#This Row],[Winkel2]]=select!$A$2,1,0)</f>
        <v>1</v>
      </c>
      <c r="E5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76" s="46">
        <f>IF(select!$E$16=IF(Tabelle1[[#This Row],[mit Dämpfung]]=1,1,IF(Tabelle1[[#This Row],[ohne Dämpfung]]=1,2,IF(Tabelle1[[#This Row],[ohne Feder]]=1,3,0))),1,0)</f>
        <v>0</v>
      </c>
      <c r="G576" s="46">
        <f>IF(Tabelle1[[#This Row],[Links]]=select!$I$2,1,0)</f>
        <v>0</v>
      </c>
      <c r="H576" s="46">
        <f>IF(IF(Tabelle1[[#This Row],[Anschrauben]]=1,1,IF(Tabelle1[[#This Row],[Einpressen]]=1,2,IF(Tabelle1[[#This Row],[Werkzeuglos]]=1,3,0)))=select!$E$7,1,0)</f>
        <v>0</v>
      </c>
      <c r="I576" s="46">
        <f ca="1">IF(Tabelle1[[#This Row],[Winkel]]+Tabelle1[[#This Row],[Kröpfung]]+Tabelle1[[#This Row],[Däpfung]]+Tabelle1[[#This Row],[Bohrbild]]+Tabelle1[[#This Row],[Scharnierbefestigung]]=5,1,0)</f>
        <v>0</v>
      </c>
      <c r="J576" t="str">
        <f ca="1">Sprache!$A$57</f>
        <v>TIOMOS hinge TT-Click-on</v>
      </c>
      <c r="K576" t="s">
        <v>259</v>
      </c>
      <c r="L576" t="str">
        <f ca="1">Sprache!$A$63</f>
        <v>TIOMOS Click-on hinges</v>
      </c>
      <c r="M576">
        <v>9.5</v>
      </c>
      <c r="N576" t="s">
        <v>12</v>
      </c>
      <c r="O576">
        <v>110</v>
      </c>
      <c r="P576">
        <v>0</v>
      </c>
      <c r="Q576">
        <v>0</v>
      </c>
      <c r="R576">
        <v>1</v>
      </c>
      <c r="S576">
        <v>1</v>
      </c>
      <c r="T576">
        <v>0</v>
      </c>
      <c r="U576">
        <v>0</v>
      </c>
      <c r="V576" s="14" t="s">
        <v>633</v>
      </c>
    </row>
    <row r="577" spans="1:22" ht="14.25" customHeight="1" x14ac:dyDescent="0.25">
      <c r="A577" s="48" t="str">
        <f>LEFT(Tabelle1[[#This Row],[Artikel'#]],4)</f>
        <v>F046</v>
      </c>
      <c r="B577" s="46" t="str">
        <f>MID(Tabelle1[[#This Row],[Artikel'#]],5,3)</f>
        <v>138</v>
      </c>
      <c r="C577" s="48" t="str">
        <f>RIGHT(Tabelle1[[#This Row],[Artikel'#]],3)</f>
        <v>187</v>
      </c>
      <c r="D577" s="46">
        <f>IF(Tabelle1[[#This Row],[Winkel2]]=select!$A$2,1,0)</f>
        <v>1</v>
      </c>
      <c r="E5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7" s="46">
        <f>IF(select!$E$16=IF(Tabelle1[[#This Row],[mit Dämpfung]]=1,1,IF(Tabelle1[[#This Row],[ohne Dämpfung]]=1,2,IF(Tabelle1[[#This Row],[ohne Feder]]=1,3,0))),1,0)</f>
        <v>0</v>
      </c>
      <c r="G577" s="46">
        <f>IF(Tabelle1[[#This Row],[Links]]=select!$I$2,1,0)</f>
        <v>0</v>
      </c>
      <c r="H577" s="46">
        <f>IF(IF(Tabelle1[[#This Row],[Anschrauben]]=1,1,IF(Tabelle1[[#This Row],[Einpressen]]=1,2,IF(Tabelle1[[#This Row],[Werkzeuglos]]=1,3,0)))=select!$E$7,1,0)</f>
        <v>0</v>
      </c>
      <c r="I577" s="46">
        <f ca="1">IF(Tabelle1[[#This Row],[Winkel]]+Tabelle1[[#This Row],[Kröpfung]]+Tabelle1[[#This Row],[Däpfung]]+Tabelle1[[#This Row],[Bohrbild]]+Tabelle1[[#This Row],[Scharnierbefestigung]]=5,1,0)</f>
        <v>0</v>
      </c>
      <c r="J577" t="str">
        <f ca="1">Sprache!$A$57</f>
        <v>TIOMOS hinge TT-Click-on</v>
      </c>
      <c r="K577" t="s">
        <v>261</v>
      </c>
      <c r="L577" t="str">
        <f ca="1">Sprache!$A$63</f>
        <v>TIOMOS Click-on hinges</v>
      </c>
      <c r="M577">
        <v>19</v>
      </c>
      <c r="N577" t="s">
        <v>12</v>
      </c>
      <c r="O577">
        <v>110</v>
      </c>
      <c r="P577">
        <v>0</v>
      </c>
      <c r="Q577">
        <v>0</v>
      </c>
      <c r="R577">
        <v>1</v>
      </c>
      <c r="S577">
        <v>1</v>
      </c>
      <c r="T577">
        <v>0</v>
      </c>
      <c r="U577">
        <v>0</v>
      </c>
      <c r="V577" s="14" t="s">
        <v>634</v>
      </c>
    </row>
    <row r="578" spans="1:22" ht="14.25" customHeight="1" x14ac:dyDescent="0.25">
      <c r="A578" s="48" t="str">
        <f>LEFT(Tabelle1[[#This Row],[Artikel'#]],4)</f>
        <v>F046</v>
      </c>
      <c r="B578" s="46" t="str">
        <f>MID(Tabelle1[[#This Row],[Artikel'#]],5,3)</f>
        <v>138</v>
      </c>
      <c r="C578" s="48" t="str">
        <f>RIGHT(Tabelle1[[#This Row],[Artikel'#]],3)</f>
        <v>188</v>
      </c>
      <c r="D578" s="46">
        <f>IF(Tabelle1[[#This Row],[Winkel2]]=select!$A$2,1,0)</f>
        <v>1</v>
      </c>
      <c r="E5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8" s="46">
        <f>IF(select!$E$16=IF(Tabelle1[[#This Row],[mit Dämpfung]]=1,1,IF(Tabelle1[[#This Row],[ohne Dämpfung]]=1,2,IF(Tabelle1[[#This Row],[ohne Feder]]=1,3,0))),1,0)</f>
        <v>0</v>
      </c>
      <c r="G578" s="46">
        <f>IF(Tabelle1[[#This Row],[Links]]=select!$I$2,1,0)</f>
        <v>0</v>
      </c>
      <c r="H578" s="46">
        <f>IF(IF(Tabelle1[[#This Row],[Anschrauben]]=1,1,IF(Tabelle1[[#This Row],[Einpressen]]=1,2,IF(Tabelle1[[#This Row],[Werkzeuglos]]=1,3,0)))=select!$E$7,1,0)</f>
        <v>1</v>
      </c>
      <c r="I578" s="46">
        <f ca="1">IF(Tabelle1[[#This Row],[Winkel]]+Tabelle1[[#This Row],[Kröpfung]]+Tabelle1[[#This Row],[Däpfung]]+Tabelle1[[#This Row],[Bohrbild]]+Tabelle1[[#This Row],[Scharnierbefestigung]]=5,1,0)</f>
        <v>0</v>
      </c>
      <c r="J578" t="str">
        <f ca="1">Sprache!$A$57</f>
        <v>TIOMOS hinge TT-Click-on</v>
      </c>
      <c r="K578" t="str">
        <f ca="1">"110°, M-BB, K00, "&amp;Sprache!A59&amp;", ni"</f>
        <v>110°, M-BB, K00, Dowel, ni</v>
      </c>
      <c r="L578" t="str">
        <f ca="1">Sprache!$A$63</f>
        <v>TIOMOS Click-on hinges</v>
      </c>
      <c r="M578">
        <v>0</v>
      </c>
      <c r="N578" t="s">
        <v>12</v>
      </c>
      <c r="O578">
        <v>110</v>
      </c>
      <c r="P578">
        <v>0</v>
      </c>
      <c r="Q578">
        <v>0</v>
      </c>
      <c r="R578">
        <v>1</v>
      </c>
      <c r="S578">
        <v>0</v>
      </c>
      <c r="T578">
        <v>1</v>
      </c>
      <c r="U578">
        <v>0</v>
      </c>
      <c r="V578" s="14" t="s">
        <v>635</v>
      </c>
    </row>
    <row r="579" spans="1:22" ht="14.25" customHeight="1" x14ac:dyDescent="0.25">
      <c r="A579" s="48" t="str">
        <f>LEFT(Tabelle1[[#This Row],[Artikel'#]],4)</f>
        <v>F046</v>
      </c>
      <c r="B579" s="46" t="str">
        <f>MID(Tabelle1[[#This Row],[Artikel'#]],5,3)</f>
        <v>138</v>
      </c>
      <c r="C579" s="48" t="str">
        <f>RIGHT(Tabelle1[[#This Row],[Artikel'#]],3)</f>
        <v>189</v>
      </c>
      <c r="D579" s="46">
        <f>IF(Tabelle1[[#This Row],[Winkel2]]=select!$A$2,1,0)</f>
        <v>1</v>
      </c>
      <c r="E5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79" s="46">
        <f>IF(select!$E$16=IF(Tabelle1[[#This Row],[mit Dämpfung]]=1,1,IF(Tabelle1[[#This Row],[ohne Dämpfung]]=1,2,IF(Tabelle1[[#This Row],[ohne Feder]]=1,3,0))),1,0)</f>
        <v>0</v>
      </c>
      <c r="G579" s="46">
        <f>IF(Tabelle1[[#This Row],[Links]]=select!$I$2,1,0)</f>
        <v>0</v>
      </c>
      <c r="H579" s="46">
        <f>IF(IF(Tabelle1[[#This Row],[Anschrauben]]=1,1,IF(Tabelle1[[#This Row],[Einpressen]]=1,2,IF(Tabelle1[[#This Row],[Werkzeuglos]]=1,3,0)))=select!$E$7,1,0)</f>
        <v>1</v>
      </c>
      <c r="I579" s="46">
        <f ca="1">IF(Tabelle1[[#This Row],[Winkel]]+Tabelle1[[#This Row],[Kröpfung]]+Tabelle1[[#This Row],[Däpfung]]+Tabelle1[[#This Row],[Bohrbild]]+Tabelle1[[#This Row],[Scharnierbefestigung]]=5,1,0)</f>
        <v>0</v>
      </c>
      <c r="J579" t="str">
        <f ca="1">Sprache!$A$57</f>
        <v>TIOMOS hinge TT-Click-on</v>
      </c>
      <c r="K579" t="str">
        <f ca="1">"110°, M-BB, K03, "&amp;Sprache!A59&amp;", ni"</f>
        <v>110°, M-BB, K03, Dowel, ni</v>
      </c>
      <c r="L579" t="str">
        <f ca="1">Sprache!$A$63</f>
        <v>TIOMOS Click-on hinges</v>
      </c>
      <c r="M579">
        <v>3</v>
      </c>
      <c r="N579" t="s">
        <v>12</v>
      </c>
      <c r="O579">
        <v>110</v>
      </c>
      <c r="P579">
        <v>0</v>
      </c>
      <c r="Q579">
        <v>0</v>
      </c>
      <c r="R579">
        <v>1</v>
      </c>
      <c r="S579">
        <v>0</v>
      </c>
      <c r="T579">
        <v>1</v>
      </c>
      <c r="U579">
        <v>0</v>
      </c>
      <c r="V579" s="14" t="s">
        <v>636</v>
      </c>
    </row>
    <row r="580" spans="1:22" ht="14.25" customHeight="1" x14ac:dyDescent="0.25">
      <c r="A580" s="48" t="str">
        <f>LEFT(Tabelle1[[#This Row],[Artikel'#]],4)</f>
        <v>F046</v>
      </c>
      <c r="B580" s="46" t="str">
        <f>MID(Tabelle1[[#This Row],[Artikel'#]],5,3)</f>
        <v>138</v>
      </c>
      <c r="C580" s="48" t="str">
        <f>RIGHT(Tabelle1[[#This Row],[Artikel'#]],3)</f>
        <v>190</v>
      </c>
      <c r="D580" s="46">
        <f>IF(Tabelle1[[#This Row],[Winkel2]]=select!$A$2,1,0)</f>
        <v>1</v>
      </c>
      <c r="E5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80" s="46">
        <f>IF(select!$E$16=IF(Tabelle1[[#This Row],[mit Dämpfung]]=1,1,IF(Tabelle1[[#This Row],[ohne Dämpfung]]=1,2,IF(Tabelle1[[#This Row],[ohne Feder]]=1,3,0))),1,0)</f>
        <v>0</v>
      </c>
      <c r="G580" s="46">
        <f>IF(Tabelle1[[#This Row],[Links]]=select!$I$2,1,0)</f>
        <v>0</v>
      </c>
      <c r="H580" s="46">
        <f>IF(IF(Tabelle1[[#This Row],[Anschrauben]]=1,1,IF(Tabelle1[[#This Row],[Einpressen]]=1,2,IF(Tabelle1[[#This Row],[Werkzeuglos]]=1,3,0)))=select!$E$7,1,0)</f>
        <v>1</v>
      </c>
      <c r="I580" s="46">
        <f ca="1">IF(Tabelle1[[#This Row],[Winkel]]+Tabelle1[[#This Row],[Kröpfung]]+Tabelle1[[#This Row],[Däpfung]]+Tabelle1[[#This Row],[Bohrbild]]+Tabelle1[[#This Row],[Scharnierbefestigung]]=5,1,0)</f>
        <v>0</v>
      </c>
      <c r="J580" t="str">
        <f ca="1">Sprache!$A$57</f>
        <v>TIOMOS hinge TT-Click-on</v>
      </c>
      <c r="K580" t="str">
        <f ca="1">"110°, M-BB, K95, "&amp;Sprache!A59&amp;", ni"</f>
        <v>110°, M-BB, K95, Dowel, ni</v>
      </c>
      <c r="L580" t="str">
        <f ca="1">Sprache!$A$63</f>
        <v>TIOMOS Click-on hinges</v>
      </c>
      <c r="M580">
        <v>9.5</v>
      </c>
      <c r="N580" t="s">
        <v>12</v>
      </c>
      <c r="O580">
        <v>110</v>
      </c>
      <c r="P580">
        <v>0</v>
      </c>
      <c r="Q580">
        <v>0</v>
      </c>
      <c r="R580">
        <v>1</v>
      </c>
      <c r="S580">
        <v>0</v>
      </c>
      <c r="T580">
        <v>1</v>
      </c>
      <c r="U580">
        <v>0</v>
      </c>
      <c r="V580" s="14" t="s">
        <v>637</v>
      </c>
    </row>
    <row r="581" spans="1:22" ht="14.25" customHeight="1" x14ac:dyDescent="0.25">
      <c r="A581" s="48" t="str">
        <f>LEFT(Tabelle1[[#This Row],[Artikel'#]],4)</f>
        <v>F046</v>
      </c>
      <c r="B581" s="46" t="str">
        <f>MID(Tabelle1[[#This Row],[Artikel'#]],5,3)</f>
        <v>138</v>
      </c>
      <c r="C581" s="48" t="str">
        <f>RIGHT(Tabelle1[[#This Row],[Artikel'#]],3)</f>
        <v>191</v>
      </c>
      <c r="D581" s="46">
        <f>IF(Tabelle1[[#This Row],[Winkel2]]=select!$A$2,1,0)</f>
        <v>1</v>
      </c>
      <c r="E5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1" s="46">
        <f>IF(select!$E$16=IF(Tabelle1[[#This Row],[mit Dämpfung]]=1,1,IF(Tabelle1[[#This Row],[ohne Dämpfung]]=1,2,IF(Tabelle1[[#This Row],[ohne Feder]]=1,3,0))),1,0)</f>
        <v>0</v>
      </c>
      <c r="G581" s="46">
        <f>IF(Tabelle1[[#This Row],[Links]]=select!$I$2,1,0)</f>
        <v>0</v>
      </c>
      <c r="H581" s="46">
        <f>IF(IF(Tabelle1[[#This Row],[Anschrauben]]=1,1,IF(Tabelle1[[#This Row],[Einpressen]]=1,2,IF(Tabelle1[[#This Row],[Werkzeuglos]]=1,3,0)))=select!$E$7,1,0)</f>
        <v>1</v>
      </c>
      <c r="I581" s="46">
        <f ca="1">IF(Tabelle1[[#This Row],[Winkel]]+Tabelle1[[#This Row],[Kröpfung]]+Tabelle1[[#This Row],[Däpfung]]+Tabelle1[[#This Row],[Bohrbild]]+Tabelle1[[#This Row],[Scharnierbefestigung]]=5,1,0)</f>
        <v>0</v>
      </c>
      <c r="J581" t="str">
        <f ca="1">Sprache!$A$57</f>
        <v>TIOMOS hinge TT-Click-on</v>
      </c>
      <c r="K581" t="str">
        <f ca="1">"110°, M-BB, K19, "&amp;Sprache!A59&amp;", ni"</f>
        <v>110°, M-BB, K19, Dowel, ni</v>
      </c>
      <c r="L581" t="str">
        <f ca="1">Sprache!$A$63</f>
        <v>TIOMOS Click-on hinges</v>
      </c>
      <c r="M581">
        <v>19</v>
      </c>
      <c r="N581" t="s">
        <v>12</v>
      </c>
      <c r="O581">
        <v>110</v>
      </c>
      <c r="P581">
        <v>0</v>
      </c>
      <c r="Q581">
        <v>0</v>
      </c>
      <c r="R581">
        <v>1</v>
      </c>
      <c r="S581">
        <v>0</v>
      </c>
      <c r="T581">
        <v>1</v>
      </c>
      <c r="U581">
        <v>0</v>
      </c>
      <c r="V581" s="14" t="s">
        <v>638</v>
      </c>
    </row>
    <row r="582" spans="1:22" ht="14.25" customHeight="1" x14ac:dyDescent="0.25">
      <c r="A582" s="48" t="str">
        <f>LEFT(Tabelle1[[#This Row],[Artikel'#]],4)</f>
        <v>F046</v>
      </c>
      <c r="B582" s="46" t="str">
        <f>MID(Tabelle1[[#This Row],[Artikel'#]],5,3)</f>
        <v>138</v>
      </c>
      <c r="C582" s="48" t="str">
        <f>RIGHT(Tabelle1[[#This Row],[Artikel'#]],3)</f>
        <v>212</v>
      </c>
      <c r="D582" s="46">
        <f>IF(Tabelle1[[#This Row],[Winkel2]]=select!$A$2,1,0)</f>
        <v>0</v>
      </c>
      <c r="E5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2" s="46">
        <f>IF(select!$E$16=IF(Tabelle1[[#This Row],[mit Dämpfung]]=1,1,IF(Tabelle1[[#This Row],[ohne Dämpfung]]=1,2,IF(Tabelle1[[#This Row],[ohne Feder]]=1,3,0))),1,0)</f>
        <v>0</v>
      </c>
      <c r="G582" s="46">
        <f>IF(Tabelle1[[#This Row],[Links]]=select!$I$2,1,0)</f>
        <v>0</v>
      </c>
      <c r="H582" s="46">
        <f>IF(IF(Tabelle1[[#This Row],[Anschrauben]]=1,1,IF(Tabelle1[[#This Row],[Einpressen]]=1,2,IF(Tabelle1[[#This Row],[Werkzeuglos]]=1,3,0)))=select!$E$7,1,0)</f>
        <v>0</v>
      </c>
      <c r="I582" s="46">
        <f ca="1">IF(Tabelle1[[#This Row],[Winkel]]+Tabelle1[[#This Row],[Kröpfung]]+Tabelle1[[#This Row],[Däpfung]]+Tabelle1[[#This Row],[Bohrbild]]+Tabelle1[[#This Row],[Scharnierbefestigung]]=5,1,0)</f>
        <v>0</v>
      </c>
      <c r="J582" t="str">
        <f ca="1">Sprache!$A$57</f>
        <v>TIOMOS hinge TT-Click-on</v>
      </c>
      <c r="K582" t="s">
        <v>267</v>
      </c>
      <c r="L582" t="str">
        <f ca="1">Sprache!$A$63</f>
        <v>TIOMOS Click-on hinges</v>
      </c>
      <c r="M582">
        <v>0</v>
      </c>
      <c r="N582" t="s">
        <v>12</v>
      </c>
      <c r="O582">
        <v>120</v>
      </c>
      <c r="P582">
        <v>0</v>
      </c>
      <c r="Q582">
        <v>0</v>
      </c>
      <c r="R582">
        <v>1</v>
      </c>
      <c r="S582">
        <v>1</v>
      </c>
      <c r="T582">
        <v>0</v>
      </c>
      <c r="U582">
        <v>0</v>
      </c>
      <c r="V582" s="14" t="s">
        <v>639</v>
      </c>
    </row>
    <row r="583" spans="1:22" ht="14.25" customHeight="1" x14ac:dyDescent="0.25">
      <c r="A583" s="48" t="str">
        <f>LEFT(Tabelle1[[#This Row],[Artikel'#]],4)</f>
        <v>F046</v>
      </c>
      <c r="B583" s="46" t="str">
        <f>MID(Tabelle1[[#This Row],[Artikel'#]],5,3)</f>
        <v>138</v>
      </c>
      <c r="C583" s="48" t="str">
        <f>RIGHT(Tabelle1[[#This Row],[Artikel'#]],3)</f>
        <v>213</v>
      </c>
      <c r="D583" s="46">
        <f>IF(Tabelle1[[#This Row],[Winkel2]]=select!$A$2,1,0)</f>
        <v>0</v>
      </c>
      <c r="E5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3" s="46">
        <f>IF(select!$E$16=IF(Tabelle1[[#This Row],[mit Dämpfung]]=1,1,IF(Tabelle1[[#This Row],[ohne Dämpfung]]=1,2,IF(Tabelle1[[#This Row],[ohne Feder]]=1,3,0))),1,0)</f>
        <v>0</v>
      </c>
      <c r="G583" s="46">
        <f>IF(Tabelle1[[#This Row],[Links]]=select!$I$2,1,0)</f>
        <v>0</v>
      </c>
      <c r="H583" s="46">
        <f>IF(IF(Tabelle1[[#This Row],[Anschrauben]]=1,1,IF(Tabelle1[[#This Row],[Einpressen]]=1,2,IF(Tabelle1[[#This Row],[Werkzeuglos]]=1,3,0)))=select!$E$7,1,0)</f>
        <v>0</v>
      </c>
      <c r="I583" s="46">
        <f ca="1">IF(Tabelle1[[#This Row],[Winkel]]+Tabelle1[[#This Row],[Kröpfung]]+Tabelle1[[#This Row],[Däpfung]]+Tabelle1[[#This Row],[Bohrbild]]+Tabelle1[[#This Row],[Scharnierbefestigung]]=5,1,0)</f>
        <v>0</v>
      </c>
      <c r="J583" t="str">
        <f ca="1">Sprache!$A$57</f>
        <v>TIOMOS hinge TT-Click-on</v>
      </c>
      <c r="K583" t="s">
        <v>269</v>
      </c>
      <c r="L583" t="str">
        <f ca="1">Sprache!$A$63</f>
        <v>TIOMOS Click-on hinges</v>
      </c>
      <c r="M583">
        <v>3</v>
      </c>
      <c r="N583" t="s">
        <v>12</v>
      </c>
      <c r="O583">
        <v>120</v>
      </c>
      <c r="P583">
        <v>0</v>
      </c>
      <c r="Q583">
        <v>0</v>
      </c>
      <c r="R583">
        <v>1</v>
      </c>
      <c r="S583">
        <v>1</v>
      </c>
      <c r="T583">
        <v>0</v>
      </c>
      <c r="U583">
        <v>0</v>
      </c>
      <c r="V583" s="14" t="s">
        <v>640</v>
      </c>
    </row>
    <row r="584" spans="1:22" ht="14.25" customHeight="1" x14ac:dyDescent="0.25">
      <c r="A584" s="48" t="str">
        <f>LEFT(Tabelle1[[#This Row],[Artikel'#]],4)</f>
        <v>F046</v>
      </c>
      <c r="B584" s="46" t="str">
        <f>MID(Tabelle1[[#This Row],[Artikel'#]],5,3)</f>
        <v>138</v>
      </c>
      <c r="C584" s="48" t="str">
        <f>RIGHT(Tabelle1[[#This Row],[Artikel'#]],3)</f>
        <v>214</v>
      </c>
      <c r="D584" s="46">
        <f>IF(Tabelle1[[#This Row],[Winkel2]]=select!$A$2,1,0)</f>
        <v>0</v>
      </c>
      <c r="E5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84" s="46">
        <f>IF(select!$E$16=IF(Tabelle1[[#This Row],[mit Dämpfung]]=1,1,IF(Tabelle1[[#This Row],[ohne Dämpfung]]=1,2,IF(Tabelle1[[#This Row],[ohne Feder]]=1,3,0))),1,0)</f>
        <v>0</v>
      </c>
      <c r="G584" s="46">
        <f>IF(Tabelle1[[#This Row],[Links]]=select!$I$2,1,0)</f>
        <v>0</v>
      </c>
      <c r="H584" s="46">
        <f>IF(IF(Tabelle1[[#This Row],[Anschrauben]]=1,1,IF(Tabelle1[[#This Row],[Einpressen]]=1,2,IF(Tabelle1[[#This Row],[Werkzeuglos]]=1,3,0)))=select!$E$7,1,0)</f>
        <v>0</v>
      </c>
      <c r="I584" s="46">
        <f ca="1">IF(Tabelle1[[#This Row],[Winkel]]+Tabelle1[[#This Row],[Kröpfung]]+Tabelle1[[#This Row],[Däpfung]]+Tabelle1[[#This Row],[Bohrbild]]+Tabelle1[[#This Row],[Scharnierbefestigung]]=5,1,0)</f>
        <v>0</v>
      </c>
      <c r="J584" t="str">
        <f ca="1">Sprache!$A$57</f>
        <v>TIOMOS hinge TT-Click-on</v>
      </c>
      <c r="K584" t="s">
        <v>271</v>
      </c>
      <c r="L584" t="str">
        <f ca="1">Sprache!$A$63</f>
        <v>TIOMOS Click-on hinges</v>
      </c>
      <c r="M584">
        <v>9.5</v>
      </c>
      <c r="N584" t="s">
        <v>12</v>
      </c>
      <c r="O584">
        <v>120</v>
      </c>
      <c r="P584">
        <v>0</v>
      </c>
      <c r="Q584">
        <v>0</v>
      </c>
      <c r="R584">
        <v>1</v>
      </c>
      <c r="S584">
        <v>1</v>
      </c>
      <c r="T584">
        <v>0</v>
      </c>
      <c r="U584">
        <v>0</v>
      </c>
      <c r="V584" s="14" t="s">
        <v>641</v>
      </c>
    </row>
    <row r="585" spans="1:22" ht="14.25" customHeight="1" x14ac:dyDescent="0.25">
      <c r="A585" s="48" t="str">
        <f>LEFT(Tabelle1[[#This Row],[Artikel'#]],4)</f>
        <v>F046</v>
      </c>
      <c r="B585" s="46" t="str">
        <f>MID(Tabelle1[[#This Row],[Artikel'#]],5,3)</f>
        <v>138</v>
      </c>
      <c r="C585" s="48" t="str">
        <f>RIGHT(Tabelle1[[#This Row],[Artikel'#]],3)</f>
        <v>216</v>
      </c>
      <c r="D585" s="46">
        <f>IF(Tabelle1[[#This Row],[Winkel2]]=select!$A$2,1,0)</f>
        <v>0</v>
      </c>
      <c r="E5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5" s="46">
        <f>IF(select!$E$16=IF(Tabelle1[[#This Row],[mit Dämpfung]]=1,1,IF(Tabelle1[[#This Row],[ohne Dämpfung]]=1,2,IF(Tabelle1[[#This Row],[ohne Feder]]=1,3,0))),1,0)</f>
        <v>0</v>
      </c>
      <c r="G585" s="46">
        <f>IF(Tabelle1[[#This Row],[Links]]=select!$I$2,1,0)</f>
        <v>0</v>
      </c>
      <c r="H585" s="46">
        <f>IF(IF(Tabelle1[[#This Row],[Anschrauben]]=1,1,IF(Tabelle1[[#This Row],[Einpressen]]=1,2,IF(Tabelle1[[#This Row],[Werkzeuglos]]=1,3,0)))=select!$E$7,1,0)</f>
        <v>1</v>
      </c>
      <c r="I585" s="46">
        <f ca="1">IF(Tabelle1[[#This Row],[Winkel]]+Tabelle1[[#This Row],[Kröpfung]]+Tabelle1[[#This Row],[Däpfung]]+Tabelle1[[#This Row],[Bohrbild]]+Tabelle1[[#This Row],[Scharnierbefestigung]]=5,1,0)</f>
        <v>0</v>
      </c>
      <c r="J585" t="str">
        <f ca="1">Sprache!$A$57</f>
        <v>TIOMOS hinge TT-Click-on</v>
      </c>
      <c r="K585" t="str">
        <f ca="1">"120°, M-BB, K00, "&amp;Sprache!A59&amp;", ni"</f>
        <v>120°, M-BB, K00, Dowel, ni</v>
      </c>
      <c r="L585" t="str">
        <f ca="1">Sprache!$A$63</f>
        <v>TIOMOS Click-on hinges</v>
      </c>
      <c r="M585">
        <v>0</v>
      </c>
      <c r="N585" t="s">
        <v>12</v>
      </c>
      <c r="O585">
        <v>120</v>
      </c>
      <c r="P585">
        <v>0</v>
      </c>
      <c r="Q585">
        <v>0</v>
      </c>
      <c r="R585">
        <v>1</v>
      </c>
      <c r="S585">
        <v>0</v>
      </c>
      <c r="T585">
        <v>1</v>
      </c>
      <c r="U585">
        <v>0</v>
      </c>
      <c r="V585" s="14" t="s">
        <v>642</v>
      </c>
    </row>
    <row r="586" spans="1:22" ht="14.25" customHeight="1" x14ac:dyDescent="0.25">
      <c r="A586" s="48" t="str">
        <f>LEFT(Tabelle1[[#This Row],[Artikel'#]],4)</f>
        <v>F046</v>
      </c>
      <c r="B586" s="46" t="str">
        <f>MID(Tabelle1[[#This Row],[Artikel'#]],5,3)</f>
        <v>138</v>
      </c>
      <c r="C586" s="48" t="str">
        <f>RIGHT(Tabelle1[[#This Row],[Artikel'#]],3)</f>
        <v>217</v>
      </c>
      <c r="D586" s="46">
        <f>IF(Tabelle1[[#This Row],[Winkel2]]=select!$A$2,1,0)</f>
        <v>0</v>
      </c>
      <c r="E5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6" s="46">
        <f>IF(select!$E$16=IF(Tabelle1[[#This Row],[mit Dämpfung]]=1,1,IF(Tabelle1[[#This Row],[ohne Dämpfung]]=1,2,IF(Tabelle1[[#This Row],[ohne Feder]]=1,3,0))),1,0)</f>
        <v>0</v>
      </c>
      <c r="G586" s="46">
        <f>IF(Tabelle1[[#This Row],[Links]]=select!$I$2,1,0)</f>
        <v>0</v>
      </c>
      <c r="H586" s="46">
        <f>IF(IF(Tabelle1[[#This Row],[Anschrauben]]=1,1,IF(Tabelle1[[#This Row],[Einpressen]]=1,2,IF(Tabelle1[[#This Row],[Werkzeuglos]]=1,3,0)))=select!$E$7,1,0)</f>
        <v>1</v>
      </c>
      <c r="I586" s="46">
        <f ca="1">IF(Tabelle1[[#This Row],[Winkel]]+Tabelle1[[#This Row],[Kröpfung]]+Tabelle1[[#This Row],[Däpfung]]+Tabelle1[[#This Row],[Bohrbild]]+Tabelle1[[#This Row],[Scharnierbefestigung]]=5,1,0)</f>
        <v>0</v>
      </c>
      <c r="J586" t="str">
        <f ca="1">Sprache!$A$57</f>
        <v>TIOMOS hinge TT-Click-on</v>
      </c>
      <c r="K586" t="str">
        <f ca="1">"120°, M-BB, K03, "&amp;Sprache!A59&amp;", ni"</f>
        <v>120°, M-BB, K03, Dowel, ni</v>
      </c>
      <c r="L586" t="str">
        <f ca="1">Sprache!$A$63</f>
        <v>TIOMOS Click-on hinges</v>
      </c>
      <c r="M586">
        <v>3</v>
      </c>
      <c r="N586" t="s">
        <v>12</v>
      </c>
      <c r="O586">
        <v>120</v>
      </c>
      <c r="P586">
        <v>0</v>
      </c>
      <c r="Q586">
        <v>0</v>
      </c>
      <c r="R586">
        <v>1</v>
      </c>
      <c r="S586">
        <v>0</v>
      </c>
      <c r="T586">
        <v>1</v>
      </c>
      <c r="U586">
        <v>0</v>
      </c>
      <c r="V586" s="14" t="s">
        <v>643</v>
      </c>
    </row>
    <row r="587" spans="1:22" ht="14.25" customHeight="1" x14ac:dyDescent="0.25">
      <c r="A587" s="48" t="str">
        <f>LEFT(Tabelle1[[#This Row],[Artikel'#]],4)</f>
        <v>F046</v>
      </c>
      <c r="B587" s="46" t="str">
        <f>MID(Tabelle1[[#This Row],[Artikel'#]],5,3)</f>
        <v>138</v>
      </c>
      <c r="C587" s="48" t="str">
        <f>RIGHT(Tabelle1[[#This Row],[Artikel'#]],3)</f>
        <v>218</v>
      </c>
      <c r="D587" s="46">
        <f>IF(Tabelle1[[#This Row],[Winkel2]]=select!$A$2,1,0)</f>
        <v>0</v>
      </c>
      <c r="E5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87" s="46">
        <f>IF(select!$E$16=IF(Tabelle1[[#This Row],[mit Dämpfung]]=1,1,IF(Tabelle1[[#This Row],[ohne Dämpfung]]=1,2,IF(Tabelle1[[#This Row],[ohne Feder]]=1,3,0))),1,0)</f>
        <v>0</v>
      </c>
      <c r="G587" s="46">
        <f>IF(Tabelle1[[#This Row],[Links]]=select!$I$2,1,0)</f>
        <v>0</v>
      </c>
      <c r="H587" s="46">
        <f>IF(IF(Tabelle1[[#This Row],[Anschrauben]]=1,1,IF(Tabelle1[[#This Row],[Einpressen]]=1,2,IF(Tabelle1[[#This Row],[Werkzeuglos]]=1,3,0)))=select!$E$7,1,0)</f>
        <v>1</v>
      </c>
      <c r="I587" s="46">
        <f ca="1">IF(Tabelle1[[#This Row],[Winkel]]+Tabelle1[[#This Row],[Kröpfung]]+Tabelle1[[#This Row],[Däpfung]]+Tabelle1[[#This Row],[Bohrbild]]+Tabelle1[[#This Row],[Scharnierbefestigung]]=5,1,0)</f>
        <v>0</v>
      </c>
      <c r="J587" t="str">
        <f ca="1">Sprache!$A$57</f>
        <v>TIOMOS hinge TT-Click-on</v>
      </c>
      <c r="K587" t="str">
        <f ca="1">"120°, M-BB, K95, "&amp;Sprache!A59&amp;", ni"</f>
        <v>120°, M-BB, K95, Dowel, ni</v>
      </c>
      <c r="L587" t="str">
        <f ca="1">Sprache!$A$63</f>
        <v>TIOMOS Click-on hinges</v>
      </c>
      <c r="M587">
        <v>9.5</v>
      </c>
      <c r="N587" t="s">
        <v>12</v>
      </c>
      <c r="O587">
        <v>120</v>
      </c>
      <c r="P587">
        <v>0</v>
      </c>
      <c r="Q587">
        <v>0</v>
      </c>
      <c r="R587">
        <v>1</v>
      </c>
      <c r="S587">
        <v>0</v>
      </c>
      <c r="T587">
        <v>1</v>
      </c>
      <c r="U587">
        <v>0</v>
      </c>
      <c r="V587" s="14" t="s">
        <v>644</v>
      </c>
    </row>
    <row r="588" spans="1:22" ht="14.25" customHeight="1" x14ac:dyDescent="0.25">
      <c r="A588" s="48" t="str">
        <f>LEFT(Tabelle1[[#This Row],[Artikel'#]],4)</f>
        <v>F046</v>
      </c>
      <c r="B588" s="46" t="str">
        <f>MID(Tabelle1[[#This Row],[Artikel'#]],5,3)</f>
        <v>138</v>
      </c>
      <c r="C588" s="48" t="str">
        <f>RIGHT(Tabelle1[[#This Row],[Artikel'#]],3)</f>
        <v>226</v>
      </c>
      <c r="D588" s="46">
        <f>IF(Tabelle1[[#This Row],[Winkel2]]=select!$A$2,1,0)</f>
        <v>0</v>
      </c>
      <c r="E5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8" s="46">
        <f>IF(select!$E$16=IF(Tabelle1[[#This Row],[mit Dämpfung]]=1,1,IF(Tabelle1[[#This Row],[ohne Dämpfung]]=1,2,IF(Tabelle1[[#This Row],[ohne Feder]]=1,3,0))),1,0)</f>
        <v>0</v>
      </c>
      <c r="G588" s="46">
        <f>IF(Tabelle1[[#This Row],[Links]]=select!$I$2,1,0)</f>
        <v>0</v>
      </c>
      <c r="H588" s="46">
        <f>IF(IF(Tabelle1[[#This Row],[Anschrauben]]=1,1,IF(Tabelle1[[#This Row],[Einpressen]]=1,2,IF(Tabelle1[[#This Row],[Werkzeuglos]]=1,3,0)))=select!$E$7,1,0)</f>
        <v>0</v>
      </c>
      <c r="I588" s="46">
        <f ca="1">IF(Tabelle1[[#This Row],[Winkel]]+Tabelle1[[#This Row],[Kröpfung]]+Tabelle1[[#This Row],[Däpfung]]+Tabelle1[[#This Row],[Bohrbild]]+Tabelle1[[#This Row],[Scharnierbefestigung]]=5,1,0)</f>
        <v>0</v>
      </c>
      <c r="J588" t="str">
        <f ca="1">Sprache!$A$57</f>
        <v>TIOMOS hinge TT-Click-on</v>
      </c>
      <c r="K588" t="s">
        <v>276</v>
      </c>
      <c r="L588" t="str">
        <f ca="1">Sprache!$A$63</f>
        <v>TIOMOS Click-on hinges</v>
      </c>
      <c r="M588">
        <v>0</v>
      </c>
      <c r="N588" s="13" t="s">
        <v>12</v>
      </c>
      <c r="O588">
        <v>160</v>
      </c>
      <c r="P588">
        <v>0</v>
      </c>
      <c r="Q588">
        <v>0</v>
      </c>
      <c r="R588">
        <v>1</v>
      </c>
      <c r="S588">
        <v>1</v>
      </c>
      <c r="T588">
        <v>0</v>
      </c>
      <c r="U588">
        <v>0</v>
      </c>
      <c r="V588" s="14" t="s">
        <v>645</v>
      </c>
    </row>
    <row r="589" spans="1:22" ht="14.25" customHeight="1" x14ac:dyDescent="0.25">
      <c r="A589" s="48" t="str">
        <f>LEFT(Tabelle1[[#This Row],[Artikel'#]],4)</f>
        <v>F046</v>
      </c>
      <c r="B589" s="46" t="str">
        <f>MID(Tabelle1[[#This Row],[Artikel'#]],5,3)</f>
        <v>138</v>
      </c>
      <c r="C589" s="48" t="str">
        <f>RIGHT(Tabelle1[[#This Row],[Artikel'#]],3)</f>
        <v>227</v>
      </c>
      <c r="D589" s="46">
        <f>IF(Tabelle1[[#This Row],[Winkel2]]=select!$A$2,1,0)</f>
        <v>0</v>
      </c>
      <c r="E5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89" s="46">
        <f>IF(select!$E$16=IF(Tabelle1[[#This Row],[mit Dämpfung]]=1,1,IF(Tabelle1[[#This Row],[ohne Dämpfung]]=1,2,IF(Tabelle1[[#This Row],[ohne Feder]]=1,3,0))),1,0)</f>
        <v>0</v>
      </c>
      <c r="G589" s="46">
        <f>IF(Tabelle1[[#This Row],[Links]]=select!$I$2,1,0)</f>
        <v>0</v>
      </c>
      <c r="H589" s="46">
        <f>IF(IF(Tabelle1[[#This Row],[Anschrauben]]=1,1,IF(Tabelle1[[#This Row],[Einpressen]]=1,2,IF(Tabelle1[[#This Row],[Werkzeuglos]]=1,3,0)))=select!$E$7,1,0)</f>
        <v>0</v>
      </c>
      <c r="I589" s="46">
        <f ca="1">IF(Tabelle1[[#This Row],[Winkel]]+Tabelle1[[#This Row],[Kröpfung]]+Tabelle1[[#This Row],[Däpfung]]+Tabelle1[[#This Row],[Bohrbild]]+Tabelle1[[#This Row],[Scharnierbefestigung]]=5,1,0)</f>
        <v>0</v>
      </c>
      <c r="J589" t="str">
        <f ca="1">Sprache!$A$57</f>
        <v>TIOMOS hinge TT-Click-on</v>
      </c>
      <c r="K589" t="s">
        <v>278</v>
      </c>
      <c r="L589" t="str">
        <f ca="1">Sprache!$A$63</f>
        <v>TIOMOS Click-on hinges</v>
      </c>
      <c r="M589">
        <v>3</v>
      </c>
      <c r="N589" t="s">
        <v>12</v>
      </c>
      <c r="O589">
        <v>160</v>
      </c>
      <c r="P589">
        <v>0</v>
      </c>
      <c r="Q589">
        <v>0</v>
      </c>
      <c r="R589">
        <v>1</v>
      </c>
      <c r="S589">
        <v>1</v>
      </c>
      <c r="T589">
        <v>0</v>
      </c>
      <c r="U589">
        <v>0</v>
      </c>
      <c r="V589" s="14" t="s">
        <v>646</v>
      </c>
    </row>
    <row r="590" spans="1:22" ht="14.25" customHeight="1" x14ac:dyDescent="0.25">
      <c r="A590" s="48" t="str">
        <f>LEFT(Tabelle1[[#This Row],[Artikel'#]],4)</f>
        <v>F046</v>
      </c>
      <c r="B590" s="46" t="str">
        <f>MID(Tabelle1[[#This Row],[Artikel'#]],5,3)</f>
        <v>138</v>
      </c>
      <c r="C590" s="48" t="str">
        <f>RIGHT(Tabelle1[[#This Row],[Artikel'#]],3)</f>
        <v>228</v>
      </c>
      <c r="D590" s="46">
        <f>IF(Tabelle1[[#This Row],[Winkel2]]=select!$A$2,1,0)</f>
        <v>0</v>
      </c>
      <c r="E5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90" s="46">
        <f>IF(select!$E$16=IF(Tabelle1[[#This Row],[mit Dämpfung]]=1,1,IF(Tabelle1[[#This Row],[ohne Dämpfung]]=1,2,IF(Tabelle1[[#This Row],[ohne Feder]]=1,3,0))),1,0)</f>
        <v>0</v>
      </c>
      <c r="G590" s="46">
        <f>IF(Tabelle1[[#This Row],[Links]]=select!$I$2,1,0)</f>
        <v>0</v>
      </c>
      <c r="H590" s="46">
        <f>IF(IF(Tabelle1[[#This Row],[Anschrauben]]=1,1,IF(Tabelle1[[#This Row],[Einpressen]]=1,2,IF(Tabelle1[[#This Row],[Werkzeuglos]]=1,3,0)))=select!$E$7,1,0)</f>
        <v>0</v>
      </c>
      <c r="I590" s="46">
        <f ca="1">IF(Tabelle1[[#This Row],[Winkel]]+Tabelle1[[#This Row],[Kröpfung]]+Tabelle1[[#This Row],[Däpfung]]+Tabelle1[[#This Row],[Bohrbild]]+Tabelle1[[#This Row],[Scharnierbefestigung]]=5,1,0)</f>
        <v>0</v>
      </c>
      <c r="J590" t="str">
        <f ca="1">Sprache!$A$57</f>
        <v>TIOMOS hinge TT-Click-on</v>
      </c>
      <c r="K590" t="s">
        <v>280</v>
      </c>
      <c r="L590" t="str">
        <f ca="1">Sprache!$A$63</f>
        <v>TIOMOS Click-on hinges</v>
      </c>
      <c r="M590">
        <v>9.5</v>
      </c>
      <c r="N590" t="s">
        <v>12</v>
      </c>
      <c r="O590">
        <v>160</v>
      </c>
      <c r="P590">
        <v>0</v>
      </c>
      <c r="Q590">
        <v>0</v>
      </c>
      <c r="R590">
        <v>1</v>
      </c>
      <c r="S590">
        <v>1</v>
      </c>
      <c r="T590">
        <v>0</v>
      </c>
      <c r="U590">
        <v>0</v>
      </c>
      <c r="V590" s="14" t="s">
        <v>647</v>
      </c>
    </row>
    <row r="591" spans="1:22" ht="14.25" customHeight="1" x14ac:dyDescent="0.25">
      <c r="A591" s="48" t="str">
        <f>LEFT(Tabelle1[[#This Row],[Artikel'#]],4)</f>
        <v>F046</v>
      </c>
      <c r="B591" s="46" t="str">
        <f>MID(Tabelle1[[#This Row],[Artikel'#]],5,3)</f>
        <v>138</v>
      </c>
      <c r="C591" s="48" t="str">
        <f>RIGHT(Tabelle1[[#This Row],[Artikel'#]],3)</f>
        <v>229</v>
      </c>
      <c r="D591" s="46">
        <f>IF(Tabelle1[[#This Row],[Winkel2]]=select!$A$2,1,0)</f>
        <v>0</v>
      </c>
      <c r="E5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1" s="46">
        <f>IF(select!$E$16=IF(Tabelle1[[#This Row],[mit Dämpfung]]=1,1,IF(Tabelle1[[#This Row],[ohne Dämpfung]]=1,2,IF(Tabelle1[[#This Row],[ohne Feder]]=1,3,0))),1,0)</f>
        <v>0</v>
      </c>
      <c r="G591" s="46">
        <f>IF(Tabelle1[[#This Row],[Links]]=select!$I$2,1,0)</f>
        <v>0</v>
      </c>
      <c r="H591" s="46">
        <f>IF(IF(Tabelle1[[#This Row],[Anschrauben]]=1,1,IF(Tabelle1[[#This Row],[Einpressen]]=1,2,IF(Tabelle1[[#This Row],[Werkzeuglos]]=1,3,0)))=select!$E$7,1,0)</f>
        <v>1</v>
      </c>
      <c r="I591" s="46">
        <f ca="1">IF(Tabelle1[[#This Row],[Winkel]]+Tabelle1[[#This Row],[Kröpfung]]+Tabelle1[[#This Row],[Däpfung]]+Tabelle1[[#This Row],[Bohrbild]]+Tabelle1[[#This Row],[Scharnierbefestigung]]=5,1,0)</f>
        <v>0</v>
      </c>
      <c r="J591" t="str">
        <f ca="1">Sprache!$A$57</f>
        <v>TIOMOS hinge TT-Click-on</v>
      </c>
      <c r="K591" t="str">
        <f ca="1">"160°, M-BB, K00, "&amp;Sprache!A59&amp;", ni"</f>
        <v>160°, M-BB, K00, Dowel, ni</v>
      </c>
      <c r="L591" t="str">
        <f ca="1">Sprache!$A$63</f>
        <v>TIOMOS Click-on hinges</v>
      </c>
      <c r="M591">
        <v>0</v>
      </c>
      <c r="N591" s="13" t="s">
        <v>12</v>
      </c>
      <c r="O591">
        <v>160</v>
      </c>
      <c r="P591">
        <v>0</v>
      </c>
      <c r="Q591">
        <v>0</v>
      </c>
      <c r="R591">
        <v>1</v>
      </c>
      <c r="S591">
        <v>0</v>
      </c>
      <c r="T591">
        <v>1</v>
      </c>
      <c r="U591">
        <v>0</v>
      </c>
      <c r="V591" s="14" t="s">
        <v>648</v>
      </c>
    </row>
    <row r="592" spans="1:22" ht="14.25" customHeight="1" x14ac:dyDescent="0.25">
      <c r="A592" s="48" t="str">
        <f>LEFT(Tabelle1[[#This Row],[Artikel'#]],4)</f>
        <v>F046</v>
      </c>
      <c r="B592" s="46" t="str">
        <f>MID(Tabelle1[[#This Row],[Artikel'#]],5,3)</f>
        <v>138</v>
      </c>
      <c r="C592" s="48" t="str">
        <f>RIGHT(Tabelle1[[#This Row],[Artikel'#]],3)</f>
        <v>230</v>
      </c>
      <c r="D592" s="46">
        <f>IF(Tabelle1[[#This Row],[Winkel2]]=select!$A$2,1,0)</f>
        <v>0</v>
      </c>
      <c r="E5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2" s="46">
        <f>IF(select!$E$16=IF(Tabelle1[[#This Row],[mit Dämpfung]]=1,1,IF(Tabelle1[[#This Row],[ohne Dämpfung]]=1,2,IF(Tabelle1[[#This Row],[ohne Feder]]=1,3,0))),1,0)</f>
        <v>0</v>
      </c>
      <c r="G592" s="46">
        <f>IF(Tabelle1[[#This Row],[Links]]=select!$I$2,1,0)</f>
        <v>0</v>
      </c>
      <c r="H592" s="46">
        <f>IF(IF(Tabelle1[[#This Row],[Anschrauben]]=1,1,IF(Tabelle1[[#This Row],[Einpressen]]=1,2,IF(Tabelle1[[#This Row],[Werkzeuglos]]=1,3,0)))=select!$E$7,1,0)</f>
        <v>1</v>
      </c>
      <c r="I592" s="46">
        <f ca="1">IF(Tabelle1[[#This Row],[Winkel]]+Tabelle1[[#This Row],[Kröpfung]]+Tabelle1[[#This Row],[Däpfung]]+Tabelle1[[#This Row],[Bohrbild]]+Tabelle1[[#This Row],[Scharnierbefestigung]]=5,1,0)</f>
        <v>0</v>
      </c>
      <c r="J592" t="str">
        <f ca="1">Sprache!$A$57</f>
        <v>TIOMOS hinge TT-Click-on</v>
      </c>
      <c r="K592" t="str">
        <f ca="1">"160°, M-BB, K03, "&amp;Sprache!A59&amp;", ni"</f>
        <v>160°, M-BB, K03, Dowel, ni</v>
      </c>
      <c r="L592" t="str">
        <f ca="1">Sprache!$A$63</f>
        <v>TIOMOS Click-on hinges</v>
      </c>
      <c r="M592">
        <v>3</v>
      </c>
      <c r="N592" t="s">
        <v>12</v>
      </c>
      <c r="O592">
        <v>160</v>
      </c>
      <c r="P592">
        <v>0</v>
      </c>
      <c r="Q592">
        <v>0</v>
      </c>
      <c r="R592">
        <v>1</v>
      </c>
      <c r="S592">
        <v>0</v>
      </c>
      <c r="T592">
        <v>1</v>
      </c>
      <c r="U592">
        <v>0</v>
      </c>
      <c r="V592" s="14" t="s">
        <v>649</v>
      </c>
    </row>
    <row r="593" spans="1:22" ht="14.25" customHeight="1" x14ac:dyDescent="0.25">
      <c r="A593" s="48" t="str">
        <f>LEFT(Tabelle1[[#This Row],[Artikel'#]],4)</f>
        <v>F046</v>
      </c>
      <c r="B593" s="46" t="str">
        <f>MID(Tabelle1[[#This Row],[Artikel'#]],5,3)</f>
        <v>138</v>
      </c>
      <c r="C593" s="48" t="str">
        <f>RIGHT(Tabelle1[[#This Row],[Artikel'#]],3)</f>
        <v>231</v>
      </c>
      <c r="D593" s="46">
        <f>IF(Tabelle1[[#This Row],[Winkel2]]=select!$A$2,1,0)</f>
        <v>0</v>
      </c>
      <c r="E5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93" s="46">
        <f>IF(select!$E$16=IF(Tabelle1[[#This Row],[mit Dämpfung]]=1,1,IF(Tabelle1[[#This Row],[ohne Dämpfung]]=1,2,IF(Tabelle1[[#This Row],[ohne Feder]]=1,3,0))),1,0)</f>
        <v>0</v>
      </c>
      <c r="G593" s="46">
        <f>IF(Tabelle1[[#This Row],[Links]]=select!$I$2,1,0)</f>
        <v>0</v>
      </c>
      <c r="H593" s="46">
        <f>IF(IF(Tabelle1[[#This Row],[Anschrauben]]=1,1,IF(Tabelle1[[#This Row],[Einpressen]]=1,2,IF(Tabelle1[[#This Row],[Werkzeuglos]]=1,3,0)))=select!$E$7,1,0)</f>
        <v>1</v>
      </c>
      <c r="I593" s="46">
        <f ca="1">IF(Tabelle1[[#This Row],[Winkel]]+Tabelle1[[#This Row],[Kröpfung]]+Tabelle1[[#This Row],[Däpfung]]+Tabelle1[[#This Row],[Bohrbild]]+Tabelle1[[#This Row],[Scharnierbefestigung]]=5,1,0)</f>
        <v>0</v>
      </c>
      <c r="J593" t="str">
        <f ca="1">Sprache!$A$57</f>
        <v>TIOMOS hinge TT-Click-on</v>
      </c>
      <c r="K593" t="str">
        <f ca="1">"160°, M-BB, K95, "&amp;Sprache!A59&amp;", ni"</f>
        <v>160°, M-BB, K95, Dowel, ni</v>
      </c>
      <c r="L593" t="str">
        <f ca="1">Sprache!$A$63</f>
        <v>TIOMOS Click-on hinges</v>
      </c>
      <c r="M593">
        <v>9.5</v>
      </c>
      <c r="N593" t="s">
        <v>12</v>
      </c>
      <c r="O593">
        <v>160</v>
      </c>
      <c r="P593">
        <v>0</v>
      </c>
      <c r="Q593">
        <v>0</v>
      </c>
      <c r="R593">
        <v>1</v>
      </c>
      <c r="S593">
        <v>0</v>
      </c>
      <c r="T593">
        <v>1</v>
      </c>
      <c r="U593">
        <v>0</v>
      </c>
      <c r="V593" s="14" t="s">
        <v>650</v>
      </c>
    </row>
    <row r="594" spans="1:22" ht="14.25" customHeight="1" x14ac:dyDescent="0.25">
      <c r="A594" s="48" t="str">
        <f>LEFT(Tabelle1[[#This Row],[Artikel'#]],4)</f>
        <v>F046</v>
      </c>
      <c r="B594" s="46" t="str">
        <f>MID(Tabelle1[[#This Row],[Artikel'#]],5,3)</f>
        <v>138</v>
      </c>
      <c r="C594" s="48" t="str">
        <f>RIGHT(Tabelle1[[#This Row],[Artikel'#]],3)</f>
        <v>232</v>
      </c>
      <c r="D594" s="46">
        <f>IF(Tabelle1[[#This Row],[Winkel2]]=select!$A$2,1,0)</f>
        <v>0</v>
      </c>
      <c r="E5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4" s="46">
        <f>IF(select!$E$16=IF(Tabelle1[[#This Row],[mit Dämpfung]]=1,1,IF(Tabelle1[[#This Row],[ohne Dämpfung]]=1,2,IF(Tabelle1[[#This Row],[ohne Feder]]=1,3,0))),1,0)</f>
        <v>0</v>
      </c>
      <c r="G594" s="46">
        <f>IF(Tabelle1[[#This Row],[Links]]=select!$I$2,1,0)</f>
        <v>0</v>
      </c>
      <c r="H594" s="46">
        <f>IF(IF(Tabelle1[[#This Row],[Anschrauben]]=1,1,IF(Tabelle1[[#This Row],[Einpressen]]=1,2,IF(Tabelle1[[#This Row],[Werkzeuglos]]=1,3,0)))=select!$E$7,1,0)</f>
        <v>0</v>
      </c>
      <c r="I594" s="46">
        <f ca="1">IF(Tabelle1[[#This Row],[Winkel]]+Tabelle1[[#This Row],[Kröpfung]]+Tabelle1[[#This Row],[Däpfung]]+Tabelle1[[#This Row],[Bohrbild]]+Tabelle1[[#This Row],[Scharnierbefestigung]]=5,1,0)</f>
        <v>0</v>
      </c>
      <c r="J594" t="str">
        <f ca="1">Sprache!$A$57</f>
        <v>TIOMOS hinge TT-Click-on</v>
      </c>
      <c r="K594" t="s">
        <v>285</v>
      </c>
      <c r="L594" t="str">
        <f ca="1">Sprache!$A$63</f>
        <v>TIOMOS Click-on hinges</v>
      </c>
      <c r="M594">
        <v>0</v>
      </c>
      <c r="N594" t="s">
        <v>12</v>
      </c>
      <c r="O594">
        <v>95</v>
      </c>
      <c r="P594">
        <v>0</v>
      </c>
      <c r="Q594">
        <v>0</v>
      </c>
      <c r="R594">
        <v>1</v>
      </c>
      <c r="S594">
        <v>1</v>
      </c>
      <c r="T594">
        <v>0</v>
      </c>
      <c r="U594">
        <v>0</v>
      </c>
      <c r="V594" s="14" t="s">
        <v>651</v>
      </c>
    </row>
    <row r="595" spans="1:22" ht="14.25" customHeight="1" x14ac:dyDescent="0.25">
      <c r="A595" s="48" t="str">
        <f>LEFT(Tabelle1[[#This Row],[Artikel'#]],4)</f>
        <v>F046</v>
      </c>
      <c r="B595" s="46" t="str">
        <f>MID(Tabelle1[[#This Row],[Artikel'#]],5,3)</f>
        <v>138</v>
      </c>
      <c r="C595" s="48" t="str">
        <f>RIGHT(Tabelle1[[#This Row],[Artikel'#]],3)</f>
        <v>233</v>
      </c>
      <c r="D595" s="46">
        <f>IF(Tabelle1[[#This Row],[Winkel2]]=select!$A$2,1,0)</f>
        <v>0</v>
      </c>
      <c r="E5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5" s="46">
        <f>IF(select!$E$16=IF(Tabelle1[[#This Row],[mit Dämpfung]]=1,1,IF(Tabelle1[[#This Row],[ohne Dämpfung]]=1,2,IF(Tabelle1[[#This Row],[ohne Feder]]=1,3,0))),1,0)</f>
        <v>0</v>
      </c>
      <c r="G595" s="46">
        <f>IF(Tabelle1[[#This Row],[Links]]=select!$I$2,1,0)</f>
        <v>0</v>
      </c>
      <c r="H595" s="46">
        <f>IF(IF(Tabelle1[[#This Row],[Anschrauben]]=1,1,IF(Tabelle1[[#This Row],[Einpressen]]=1,2,IF(Tabelle1[[#This Row],[Werkzeuglos]]=1,3,0)))=select!$E$7,1,0)</f>
        <v>0</v>
      </c>
      <c r="I595" s="46">
        <f ca="1">IF(Tabelle1[[#This Row],[Winkel]]+Tabelle1[[#This Row],[Kröpfung]]+Tabelle1[[#This Row],[Däpfung]]+Tabelle1[[#This Row],[Bohrbild]]+Tabelle1[[#This Row],[Scharnierbefestigung]]=5,1,0)</f>
        <v>0</v>
      </c>
      <c r="J595" t="str">
        <f ca="1">Sprache!$A$57</f>
        <v>TIOMOS hinge TT-Click-on</v>
      </c>
      <c r="K595" t="s">
        <v>287</v>
      </c>
      <c r="L595" t="str">
        <f ca="1">Sprache!$A$63</f>
        <v>TIOMOS Click-on hinges</v>
      </c>
      <c r="M595">
        <v>3</v>
      </c>
      <c r="N595" t="s">
        <v>12</v>
      </c>
      <c r="O595">
        <v>95</v>
      </c>
      <c r="P595">
        <v>0</v>
      </c>
      <c r="Q595">
        <v>0</v>
      </c>
      <c r="R595">
        <v>1</v>
      </c>
      <c r="S595">
        <v>1</v>
      </c>
      <c r="T595">
        <v>0</v>
      </c>
      <c r="U595">
        <v>0</v>
      </c>
      <c r="V595" s="14" t="s">
        <v>652</v>
      </c>
    </row>
    <row r="596" spans="1:22" ht="14.25" customHeight="1" x14ac:dyDescent="0.25">
      <c r="A596" s="48" t="str">
        <f>LEFT(Tabelle1[[#This Row],[Artikel'#]],4)</f>
        <v>F046</v>
      </c>
      <c r="B596" s="46" t="str">
        <f>MID(Tabelle1[[#This Row],[Artikel'#]],5,3)</f>
        <v>138</v>
      </c>
      <c r="C596" s="48" t="str">
        <f>RIGHT(Tabelle1[[#This Row],[Artikel'#]],3)</f>
        <v>234</v>
      </c>
      <c r="D596" s="46">
        <f>IF(Tabelle1[[#This Row],[Winkel2]]=select!$A$2,1,0)</f>
        <v>0</v>
      </c>
      <c r="E5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596" s="46">
        <f>IF(select!$E$16=IF(Tabelle1[[#This Row],[mit Dämpfung]]=1,1,IF(Tabelle1[[#This Row],[ohne Dämpfung]]=1,2,IF(Tabelle1[[#This Row],[ohne Feder]]=1,3,0))),1,0)</f>
        <v>0</v>
      </c>
      <c r="G596" s="46">
        <f>IF(Tabelle1[[#This Row],[Links]]=select!$I$2,1,0)</f>
        <v>0</v>
      </c>
      <c r="H596" s="46">
        <f>IF(IF(Tabelle1[[#This Row],[Anschrauben]]=1,1,IF(Tabelle1[[#This Row],[Einpressen]]=1,2,IF(Tabelle1[[#This Row],[Werkzeuglos]]=1,3,0)))=select!$E$7,1,0)</f>
        <v>0</v>
      </c>
      <c r="I596" s="46">
        <f ca="1">IF(Tabelle1[[#This Row],[Winkel]]+Tabelle1[[#This Row],[Kröpfung]]+Tabelle1[[#This Row],[Däpfung]]+Tabelle1[[#This Row],[Bohrbild]]+Tabelle1[[#This Row],[Scharnierbefestigung]]=5,1,0)</f>
        <v>0</v>
      </c>
      <c r="J596" t="str">
        <f ca="1">Sprache!$A$57</f>
        <v>TIOMOS hinge TT-Click-on</v>
      </c>
      <c r="K596" t="s">
        <v>289</v>
      </c>
      <c r="L596" t="str">
        <f ca="1">Sprache!$A$63</f>
        <v>TIOMOS Click-on hinges</v>
      </c>
      <c r="M596">
        <v>9.5</v>
      </c>
      <c r="N596" t="s">
        <v>12</v>
      </c>
      <c r="O596">
        <v>95</v>
      </c>
      <c r="P596">
        <v>0</v>
      </c>
      <c r="Q596">
        <v>0</v>
      </c>
      <c r="R596">
        <v>1</v>
      </c>
      <c r="S596">
        <v>1</v>
      </c>
      <c r="T596">
        <v>0</v>
      </c>
      <c r="U596">
        <v>0</v>
      </c>
      <c r="V596" s="14" t="s">
        <v>653</v>
      </c>
    </row>
    <row r="597" spans="1:22" ht="14.25" customHeight="1" x14ac:dyDescent="0.25">
      <c r="A597" s="48" t="str">
        <f>LEFT(Tabelle1[[#This Row],[Artikel'#]],4)</f>
        <v>F046</v>
      </c>
      <c r="B597" s="46" t="str">
        <f>MID(Tabelle1[[#This Row],[Artikel'#]],5,3)</f>
        <v>138</v>
      </c>
      <c r="C597" s="48" t="str">
        <f>RIGHT(Tabelle1[[#This Row],[Artikel'#]],3)</f>
        <v>235</v>
      </c>
      <c r="D597" s="46">
        <f>IF(Tabelle1[[#This Row],[Winkel2]]=select!$A$2,1,0)</f>
        <v>0</v>
      </c>
      <c r="E5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7" s="46">
        <f>IF(select!$E$16=IF(Tabelle1[[#This Row],[mit Dämpfung]]=1,1,IF(Tabelle1[[#This Row],[ohne Dämpfung]]=1,2,IF(Tabelle1[[#This Row],[ohne Feder]]=1,3,0))),1,0)</f>
        <v>0</v>
      </c>
      <c r="G597" s="46">
        <f>IF(Tabelle1[[#This Row],[Links]]=select!$I$2,1,0)</f>
        <v>0</v>
      </c>
      <c r="H597" s="46">
        <f>IF(IF(Tabelle1[[#This Row],[Anschrauben]]=1,1,IF(Tabelle1[[#This Row],[Einpressen]]=1,2,IF(Tabelle1[[#This Row],[Werkzeuglos]]=1,3,0)))=select!$E$7,1,0)</f>
        <v>0</v>
      </c>
      <c r="I597" s="46">
        <f ca="1">IF(Tabelle1[[#This Row],[Winkel]]+Tabelle1[[#This Row],[Kröpfung]]+Tabelle1[[#This Row],[Däpfung]]+Tabelle1[[#This Row],[Bohrbild]]+Tabelle1[[#This Row],[Scharnierbefestigung]]=5,1,0)</f>
        <v>0</v>
      </c>
      <c r="J597" t="str">
        <f ca="1">Sprache!$A$57</f>
        <v>TIOMOS hinge TT-Click-on</v>
      </c>
      <c r="K597" t="s">
        <v>291</v>
      </c>
      <c r="L597" t="str">
        <f ca="1">Sprache!$A$63</f>
        <v>TIOMOS Click-on hinges</v>
      </c>
      <c r="M597">
        <v>19</v>
      </c>
      <c r="N597" t="s">
        <v>12</v>
      </c>
      <c r="O597">
        <v>95</v>
      </c>
      <c r="P597">
        <v>0</v>
      </c>
      <c r="Q597">
        <v>0</v>
      </c>
      <c r="R597">
        <v>1</v>
      </c>
      <c r="S597">
        <v>1</v>
      </c>
      <c r="T597">
        <v>0</v>
      </c>
      <c r="U597">
        <v>0</v>
      </c>
      <c r="V597" s="14" t="s">
        <v>654</v>
      </c>
    </row>
    <row r="598" spans="1:22" ht="14.25" customHeight="1" x14ac:dyDescent="0.25">
      <c r="A598" s="48" t="str">
        <f>LEFT(Tabelle1[[#This Row],[Artikel'#]],4)</f>
        <v>F046</v>
      </c>
      <c r="B598" s="46" t="str">
        <f>MID(Tabelle1[[#This Row],[Artikel'#]],5,3)</f>
        <v>138</v>
      </c>
      <c r="C598" s="48" t="str">
        <f>RIGHT(Tabelle1[[#This Row],[Artikel'#]],3)</f>
        <v>236</v>
      </c>
      <c r="D598" s="46">
        <f>IF(Tabelle1[[#This Row],[Winkel2]]=select!$A$2,1,0)</f>
        <v>0</v>
      </c>
      <c r="E5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8" s="46">
        <f>IF(select!$E$16=IF(Tabelle1[[#This Row],[mit Dämpfung]]=1,1,IF(Tabelle1[[#This Row],[ohne Dämpfung]]=1,2,IF(Tabelle1[[#This Row],[ohne Feder]]=1,3,0))),1,0)</f>
        <v>0</v>
      </c>
      <c r="G598" s="46">
        <f>IF(Tabelle1[[#This Row],[Links]]=select!$I$2,1,0)</f>
        <v>0</v>
      </c>
      <c r="H598" s="46">
        <f>IF(IF(Tabelle1[[#This Row],[Anschrauben]]=1,1,IF(Tabelle1[[#This Row],[Einpressen]]=1,2,IF(Tabelle1[[#This Row],[Werkzeuglos]]=1,3,0)))=select!$E$7,1,0)</f>
        <v>1</v>
      </c>
      <c r="I598" s="46">
        <f ca="1">IF(Tabelle1[[#This Row],[Winkel]]+Tabelle1[[#This Row],[Kröpfung]]+Tabelle1[[#This Row],[Däpfung]]+Tabelle1[[#This Row],[Bohrbild]]+Tabelle1[[#This Row],[Scharnierbefestigung]]=5,1,0)</f>
        <v>0</v>
      </c>
      <c r="J598" t="str">
        <f ca="1">Sprache!$A$57</f>
        <v>TIOMOS hinge TT-Click-on</v>
      </c>
      <c r="K598" t="str">
        <f ca="1">"95°, M-BB, K00, "&amp;Sprache!A59&amp;", ni"</f>
        <v>95°, M-BB, K00, Dowel, ni</v>
      </c>
      <c r="L598" t="str">
        <f ca="1">Sprache!$A$63</f>
        <v>TIOMOS Click-on hinges</v>
      </c>
      <c r="M598">
        <v>0</v>
      </c>
      <c r="N598" t="s">
        <v>12</v>
      </c>
      <c r="O598">
        <v>95</v>
      </c>
      <c r="P598">
        <v>0</v>
      </c>
      <c r="Q598">
        <v>0</v>
      </c>
      <c r="R598">
        <v>1</v>
      </c>
      <c r="S598">
        <v>0</v>
      </c>
      <c r="T598">
        <v>1</v>
      </c>
      <c r="U598">
        <v>0</v>
      </c>
      <c r="V598" s="14" t="s">
        <v>655</v>
      </c>
    </row>
    <row r="599" spans="1:22" ht="14.25" customHeight="1" x14ac:dyDescent="0.25">
      <c r="A599" s="48" t="str">
        <f>LEFT(Tabelle1[[#This Row],[Artikel'#]],4)</f>
        <v>F046</v>
      </c>
      <c r="B599" s="46" t="str">
        <f>MID(Tabelle1[[#This Row],[Artikel'#]],5,3)</f>
        <v>138</v>
      </c>
      <c r="C599" s="48" t="str">
        <f>RIGHT(Tabelle1[[#This Row],[Artikel'#]],3)</f>
        <v>237</v>
      </c>
      <c r="D599" s="46">
        <f>IF(Tabelle1[[#This Row],[Winkel2]]=select!$A$2,1,0)</f>
        <v>0</v>
      </c>
      <c r="E5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599" s="46">
        <f>IF(select!$E$16=IF(Tabelle1[[#This Row],[mit Dämpfung]]=1,1,IF(Tabelle1[[#This Row],[ohne Dämpfung]]=1,2,IF(Tabelle1[[#This Row],[ohne Feder]]=1,3,0))),1,0)</f>
        <v>0</v>
      </c>
      <c r="G599" s="46">
        <f>IF(Tabelle1[[#This Row],[Links]]=select!$I$2,1,0)</f>
        <v>0</v>
      </c>
      <c r="H599" s="46">
        <f>IF(IF(Tabelle1[[#This Row],[Anschrauben]]=1,1,IF(Tabelle1[[#This Row],[Einpressen]]=1,2,IF(Tabelle1[[#This Row],[Werkzeuglos]]=1,3,0)))=select!$E$7,1,0)</f>
        <v>1</v>
      </c>
      <c r="I599" s="46">
        <f ca="1">IF(Tabelle1[[#This Row],[Winkel]]+Tabelle1[[#This Row],[Kröpfung]]+Tabelle1[[#This Row],[Däpfung]]+Tabelle1[[#This Row],[Bohrbild]]+Tabelle1[[#This Row],[Scharnierbefestigung]]=5,1,0)</f>
        <v>0</v>
      </c>
      <c r="J599" t="str">
        <f ca="1">Sprache!$A$57</f>
        <v>TIOMOS hinge TT-Click-on</v>
      </c>
      <c r="K599" t="str">
        <f ca="1">"95°, M-BB, K03, "&amp;Sprache!A59&amp;", ni"</f>
        <v>95°, M-BB, K03, Dowel, ni</v>
      </c>
      <c r="L599" t="str">
        <f ca="1">Sprache!$A$63</f>
        <v>TIOMOS Click-on hinges</v>
      </c>
      <c r="M599">
        <v>3</v>
      </c>
      <c r="N599" t="s">
        <v>12</v>
      </c>
      <c r="O599">
        <v>95</v>
      </c>
      <c r="P599">
        <v>0</v>
      </c>
      <c r="Q599">
        <v>0</v>
      </c>
      <c r="R599">
        <v>1</v>
      </c>
      <c r="S599">
        <v>0</v>
      </c>
      <c r="T599">
        <v>1</v>
      </c>
      <c r="U599">
        <v>0</v>
      </c>
      <c r="V599" s="14" t="s">
        <v>656</v>
      </c>
    </row>
    <row r="600" spans="1:22" ht="14.25" customHeight="1" x14ac:dyDescent="0.25">
      <c r="A600" s="48" t="str">
        <f>LEFT(Tabelle1[[#This Row],[Artikel'#]],4)</f>
        <v>F046</v>
      </c>
      <c r="B600" s="46" t="str">
        <f>MID(Tabelle1[[#This Row],[Artikel'#]],5,3)</f>
        <v>138</v>
      </c>
      <c r="C600" s="48" t="str">
        <f>RIGHT(Tabelle1[[#This Row],[Artikel'#]],3)</f>
        <v>238</v>
      </c>
      <c r="D600" s="46">
        <f>IF(Tabelle1[[#This Row],[Winkel2]]=select!$A$2,1,0)</f>
        <v>0</v>
      </c>
      <c r="E6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00" s="46">
        <f>IF(select!$E$16=IF(Tabelle1[[#This Row],[mit Dämpfung]]=1,1,IF(Tabelle1[[#This Row],[ohne Dämpfung]]=1,2,IF(Tabelle1[[#This Row],[ohne Feder]]=1,3,0))),1,0)</f>
        <v>0</v>
      </c>
      <c r="G600" s="46">
        <f>IF(Tabelle1[[#This Row],[Links]]=select!$I$2,1,0)</f>
        <v>0</v>
      </c>
      <c r="H600" s="46">
        <f>IF(IF(Tabelle1[[#This Row],[Anschrauben]]=1,1,IF(Tabelle1[[#This Row],[Einpressen]]=1,2,IF(Tabelle1[[#This Row],[Werkzeuglos]]=1,3,0)))=select!$E$7,1,0)</f>
        <v>1</v>
      </c>
      <c r="I600" s="46">
        <f ca="1">IF(Tabelle1[[#This Row],[Winkel]]+Tabelle1[[#This Row],[Kröpfung]]+Tabelle1[[#This Row],[Däpfung]]+Tabelle1[[#This Row],[Bohrbild]]+Tabelle1[[#This Row],[Scharnierbefestigung]]=5,1,0)</f>
        <v>0</v>
      </c>
      <c r="J600" t="str">
        <f ca="1">Sprache!$A$57</f>
        <v>TIOMOS hinge TT-Click-on</v>
      </c>
      <c r="K600" t="str">
        <f ca="1">"95°, M-BB, K95, "&amp;Sprache!A59&amp;", ni"</f>
        <v>95°, M-BB, K95, Dowel, ni</v>
      </c>
      <c r="L600" t="str">
        <f ca="1">Sprache!$A$63</f>
        <v>TIOMOS Click-on hinges</v>
      </c>
      <c r="M600">
        <v>9.5</v>
      </c>
      <c r="N600" t="s">
        <v>12</v>
      </c>
      <c r="O600">
        <v>95</v>
      </c>
      <c r="P600">
        <v>0</v>
      </c>
      <c r="Q600">
        <v>0</v>
      </c>
      <c r="R600">
        <v>1</v>
      </c>
      <c r="S600">
        <v>0</v>
      </c>
      <c r="T600">
        <v>1</v>
      </c>
      <c r="U600">
        <v>0</v>
      </c>
      <c r="V600" s="14" t="s">
        <v>657</v>
      </c>
    </row>
    <row r="601" spans="1:22" ht="14.25" customHeight="1" x14ac:dyDescent="0.25">
      <c r="A601" s="48" t="str">
        <f>LEFT(Tabelle1[[#This Row],[Artikel'#]],4)</f>
        <v>F046</v>
      </c>
      <c r="B601" s="46" t="str">
        <f>MID(Tabelle1[[#This Row],[Artikel'#]],5,3)</f>
        <v>138</v>
      </c>
      <c r="C601" s="48" t="str">
        <f>RIGHT(Tabelle1[[#This Row],[Artikel'#]],3)</f>
        <v>239</v>
      </c>
      <c r="D601" s="46">
        <f>IF(Tabelle1[[#This Row],[Winkel2]]=select!$A$2,1,0)</f>
        <v>0</v>
      </c>
      <c r="E6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1" s="46">
        <f>IF(select!$E$16=IF(Tabelle1[[#This Row],[mit Dämpfung]]=1,1,IF(Tabelle1[[#This Row],[ohne Dämpfung]]=1,2,IF(Tabelle1[[#This Row],[ohne Feder]]=1,3,0))),1,0)</f>
        <v>0</v>
      </c>
      <c r="G601" s="46">
        <f>IF(Tabelle1[[#This Row],[Links]]=select!$I$2,1,0)</f>
        <v>0</v>
      </c>
      <c r="H601" s="46">
        <f>IF(IF(Tabelle1[[#This Row],[Anschrauben]]=1,1,IF(Tabelle1[[#This Row],[Einpressen]]=1,2,IF(Tabelle1[[#This Row],[Werkzeuglos]]=1,3,0)))=select!$E$7,1,0)</f>
        <v>1</v>
      </c>
      <c r="I601" s="46">
        <f ca="1">IF(Tabelle1[[#This Row],[Winkel]]+Tabelle1[[#This Row],[Kröpfung]]+Tabelle1[[#This Row],[Däpfung]]+Tabelle1[[#This Row],[Bohrbild]]+Tabelle1[[#This Row],[Scharnierbefestigung]]=5,1,0)</f>
        <v>0</v>
      </c>
      <c r="J601" t="str">
        <f ca="1">Sprache!$A$57</f>
        <v>TIOMOS hinge TT-Click-on</v>
      </c>
      <c r="K601" t="str">
        <f ca="1">"95°, M-BB, K19, "&amp;Sprache!A59&amp;", ni"</f>
        <v>95°, M-BB, K19, Dowel, ni</v>
      </c>
      <c r="L601" t="str">
        <f ca="1">Sprache!$A$63</f>
        <v>TIOMOS Click-on hinges</v>
      </c>
      <c r="M601">
        <v>19</v>
      </c>
      <c r="N601" t="s">
        <v>12</v>
      </c>
      <c r="O601">
        <v>95</v>
      </c>
      <c r="P601">
        <v>0</v>
      </c>
      <c r="Q601">
        <v>0</v>
      </c>
      <c r="R601">
        <v>1</v>
      </c>
      <c r="S601">
        <v>0</v>
      </c>
      <c r="T601">
        <v>1</v>
      </c>
      <c r="U601">
        <v>0</v>
      </c>
      <c r="V601" s="14" t="s">
        <v>658</v>
      </c>
    </row>
    <row r="602" spans="1:22" ht="14.25" customHeight="1" x14ac:dyDescent="0.25">
      <c r="A602" s="48" t="str">
        <f>LEFT(Tabelle1[[#This Row],[Artikel'#]],4)</f>
        <v>F046</v>
      </c>
      <c r="B602" s="46" t="str">
        <f>MID(Tabelle1[[#This Row],[Artikel'#]],5,3)</f>
        <v>138</v>
      </c>
      <c r="C602" s="48" t="str">
        <f>RIGHT(Tabelle1[[#This Row],[Artikel'#]],3)</f>
        <v>397</v>
      </c>
      <c r="D602" s="46">
        <f>IF(Tabelle1[[#This Row],[Winkel2]]=select!$A$2,1,0)</f>
        <v>1</v>
      </c>
      <c r="E6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2" s="46">
        <f>IF(select!$E$16=IF(Tabelle1[[#This Row],[mit Dämpfung]]=1,1,IF(Tabelle1[[#This Row],[ohne Dämpfung]]=1,2,IF(Tabelle1[[#This Row],[ohne Feder]]=1,3,0))),1,0)</f>
        <v>0</v>
      </c>
      <c r="G602" s="46">
        <f>IF(Tabelle1[[#This Row],[Links]]=select!$I$2,1,0)</f>
        <v>0</v>
      </c>
      <c r="H602" s="46">
        <f>IF(IF(Tabelle1[[#This Row],[Anschrauben]]=1,1,IF(Tabelle1[[#This Row],[Einpressen]]=1,2,IF(Tabelle1[[#This Row],[Werkzeuglos]]=1,3,0)))=select!$E$7,1,0)</f>
        <v>0</v>
      </c>
      <c r="I602" s="46">
        <f ca="1">IF(Tabelle1[[#This Row],[Winkel]]+Tabelle1[[#This Row],[Kröpfung]]+Tabelle1[[#This Row],[Däpfung]]+Tabelle1[[#This Row],[Bohrbild]]+Tabelle1[[#This Row],[Scharnierbefestigung]]=5,1,0)</f>
        <v>0</v>
      </c>
      <c r="J602" t="str">
        <f ca="1">Sprache!$A$57</f>
        <v>TIOMOS hinge TT-Click-on</v>
      </c>
      <c r="K602" t="s">
        <v>297</v>
      </c>
      <c r="L602" t="str">
        <f ca="1">Sprache!$A$63</f>
        <v>TIOMOS Click-on hinges</v>
      </c>
      <c r="M602">
        <v>0</v>
      </c>
      <c r="N602" t="s">
        <v>13</v>
      </c>
      <c r="O602">
        <v>110</v>
      </c>
      <c r="P602">
        <v>0</v>
      </c>
      <c r="Q602">
        <v>0</v>
      </c>
      <c r="R602">
        <v>1</v>
      </c>
      <c r="S602">
        <v>1</v>
      </c>
      <c r="T602">
        <v>0</v>
      </c>
      <c r="U602">
        <v>0</v>
      </c>
      <c r="V602" s="14" t="s">
        <v>659</v>
      </c>
    </row>
    <row r="603" spans="1:22" ht="14.25" customHeight="1" x14ac:dyDescent="0.25">
      <c r="A603" s="48" t="str">
        <f>LEFT(Tabelle1[[#This Row],[Artikel'#]],4)</f>
        <v>F046</v>
      </c>
      <c r="B603" s="46" t="str">
        <f>MID(Tabelle1[[#This Row],[Artikel'#]],5,3)</f>
        <v>138</v>
      </c>
      <c r="C603" s="48" t="str">
        <f>RIGHT(Tabelle1[[#This Row],[Artikel'#]],3)</f>
        <v>398</v>
      </c>
      <c r="D603" s="46">
        <f>IF(Tabelle1[[#This Row],[Winkel2]]=select!$A$2,1,0)</f>
        <v>1</v>
      </c>
      <c r="E6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3" s="46">
        <f>IF(select!$E$16=IF(Tabelle1[[#This Row],[mit Dämpfung]]=1,1,IF(Tabelle1[[#This Row],[ohne Dämpfung]]=1,2,IF(Tabelle1[[#This Row],[ohne Feder]]=1,3,0))),1,0)</f>
        <v>0</v>
      </c>
      <c r="G603" s="46">
        <f>IF(Tabelle1[[#This Row],[Links]]=select!$I$2,1,0)</f>
        <v>0</v>
      </c>
      <c r="H603" s="46">
        <f>IF(IF(Tabelle1[[#This Row],[Anschrauben]]=1,1,IF(Tabelle1[[#This Row],[Einpressen]]=1,2,IF(Tabelle1[[#This Row],[Werkzeuglos]]=1,3,0)))=select!$E$7,1,0)</f>
        <v>0</v>
      </c>
      <c r="I603" s="46">
        <f ca="1">IF(Tabelle1[[#This Row],[Winkel]]+Tabelle1[[#This Row],[Kröpfung]]+Tabelle1[[#This Row],[Däpfung]]+Tabelle1[[#This Row],[Bohrbild]]+Tabelle1[[#This Row],[Scharnierbefestigung]]=5,1,0)</f>
        <v>0</v>
      </c>
      <c r="J603" t="str">
        <f ca="1">Sprache!$A$57</f>
        <v>TIOMOS hinge TT-Click-on</v>
      </c>
      <c r="K603" t="s">
        <v>299</v>
      </c>
      <c r="L603" t="str">
        <f ca="1">Sprache!$A$63</f>
        <v>TIOMOS Click-on hinges</v>
      </c>
      <c r="M603">
        <v>3</v>
      </c>
      <c r="N603" t="s">
        <v>13</v>
      </c>
      <c r="O603">
        <v>110</v>
      </c>
      <c r="P603">
        <v>0</v>
      </c>
      <c r="Q603">
        <v>0</v>
      </c>
      <c r="R603">
        <v>1</v>
      </c>
      <c r="S603">
        <v>1</v>
      </c>
      <c r="T603">
        <v>0</v>
      </c>
      <c r="U603">
        <v>0</v>
      </c>
      <c r="V603" s="14" t="s">
        <v>660</v>
      </c>
    </row>
    <row r="604" spans="1:22" ht="14.25" customHeight="1" x14ac:dyDescent="0.25">
      <c r="A604" s="48" t="str">
        <f>LEFT(Tabelle1[[#This Row],[Artikel'#]],4)</f>
        <v>F046</v>
      </c>
      <c r="B604" s="46" t="str">
        <f>MID(Tabelle1[[#This Row],[Artikel'#]],5,3)</f>
        <v>138</v>
      </c>
      <c r="C604" s="48" t="str">
        <f>RIGHT(Tabelle1[[#This Row],[Artikel'#]],3)</f>
        <v>399</v>
      </c>
      <c r="D604" s="46">
        <f>IF(Tabelle1[[#This Row],[Winkel2]]=select!$A$2,1,0)</f>
        <v>1</v>
      </c>
      <c r="E6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04" s="46">
        <f>IF(select!$E$16=IF(Tabelle1[[#This Row],[mit Dämpfung]]=1,1,IF(Tabelle1[[#This Row],[ohne Dämpfung]]=1,2,IF(Tabelle1[[#This Row],[ohne Feder]]=1,3,0))),1,0)</f>
        <v>0</v>
      </c>
      <c r="G604" s="46">
        <f>IF(Tabelle1[[#This Row],[Links]]=select!$I$2,1,0)</f>
        <v>0</v>
      </c>
      <c r="H604" s="46">
        <f>IF(IF(Tabelle1[[#This Row],[Anschrauben]]=1,1,IF(Tabelle1[[#This Row],[Einpressen]]=1,2,IF(Tabelle1[[#This Row],[Werkzeuglos]]=1,3,0)))=select!$E$7,1,0)</f>
        <v>0</v>
      </c>
      <c r="I604" s="46">
        <f ca="1">IF(Tabelle1[[#This Row],[Winkel]]+Tabelle1[[#This Row],[Kröpfung]]+Tabelle1[[#This Row],[Däpfung]]+Tabelle1[[#This Row],[Bohrbild]]+Tabelle1[[#This Row],[Scharnierbefestigung]]=5,1,0)</f>
        <v>0</v>
      </c>
      <c r="J604" t="str">
        <f ca="1">Sprache!$A$57</f>
        <v>TIOMOS hinge TT-Click-on</v>
      </c>
      <c r="K604" t="s">
        <v>301</v>
      </c>
      <c r="L604" t="str">
        <f ca="1">Sprache!$A$63</f>
        <v>TIOMOS Click-on hinges</v>
      </c>
      <c r="M604">
        <v>9.5</v>
      </c>
      <c r="N604" t="s">
        <v>13</v>
      </c>
      <c r="O604">
        <v>110</v>
      </c>
      <c r="P604">
        <v>0</v>
      </c>
      <c r="Q604">
        <v>0</v>
      </c>
      <c r="R604">
        <v>1</v>
      </c>
      <c r="S604">
        <v>1</v>
      </c>
      <c r="T604">
        <v>0</v>
      </c>
      <c r="U604">
        <v>0</v>
      </c>
      <c r="V604" s="14" t="s">
        <v>661</v>
      </c>
    </row>
    <row r="605" spans="1:22" ht="14.25" customHeight="1" x14ac:dyDescent="0.25">
      <c r="A605" s="48" t="str">
        <f>LEFT(Tabelle1[[#This Row],[Artikel'#]],4)</f>
        <v>F046</v>
      </c>
      <c r="B605" s="46" t="str">
        <f>MID(Tabelle1[[#This Row],[Artikel'#]],5,3)</f>
        <v>138</v>
      </c>
      <c r="C605" s="48" t="str">
        <f>RIGHT(Tabelle1[[#This Row],[Artikel'#]],3)</f>
        <v>400</v>
      </c>
      <c r="D605" s="46">
        <f>IF(Tabelle1[[#This Row],[Winkel2]]=select!$A$2,1,0)</f>
        <v>1</v>
      </c>
      <c r="E6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5" s="46">
        <f>IF(select!$E$16=IF(Tabelle1[[#This Row],[mit Dämpfung]]=1,1,IF(Tabelle1[[#This Row],[ohne Dämpfung]]=1,2,IF(Tabelle1[[#This Row],[ohne Feder]]=1,3,0))),1,0)</f>
        <v>0</v>
      </c>
      <c r="G605" s="46">
        <f>IF(Tabelle1[[#This Row],[Links]]=select!$I$2,1,0)</f>
        <v>0</v>
      </c>
      <c r="H605" s="46">
        <f>IF(IF(Tabelle1[[#This Row],[Anschrauben]]=1,1,IF(Tabelle1[[#This Row],[Einpressen]]=1,2,IF(Tabelle1[[#This Row],[Werkzeuglos]]=1,3,0)))=select!$E$7,1,0)</f>
        <v>0</v>
      </c>
      <c r="I605" s="46">
        <f ca="1">IF(Tabelle1[[#This Row],[Winkel]]+Tabelle1[[#This Row],[Kröpfung]]+Tabelle1[[#This Row],[Däpfung]]+Tabelle1[[#This Row],[Bohrbild]]+Tabelle1[[#This Row],[Scharnierbefestigung]]=5,1,0)</f>
        <v>0</v>
      </c>
      <c r="J605" t="str">
        <f ca="1">Sprache!$A$57</f>
        <v>TIOMOS hinge TT-Click-on</v>
      </c>
      <c r="K605" t="s">
        <v>303</v>
      </c>
      <c r="L605" t="str">
        <f ca="1">Sprache!$A$63</f>
        <v>TIOMOS Click-on hinges</v>
      </c>
      <c r="M605">
        <v>19</v>
      </c>
      <c r="N605" t="s">
        <v>13</v>
      </c>
      <c r="O605">
        <v>110</v>
      </c>
      <c r="P605">
        <v>0</v>
      </c>
      <c r="Q605">
        <v>0</v>
      </c>
      <c r="R605">
        <v>1</v>
      </c>
      <c r="S605">
        <v>1</v>
      </c>
      <c r="T605">
        <v>0</v>
      </c>
      <c r="U605">
        <v>0</v>
      </c>
      <c r="V605" s="14" t="s">
        <v>662</v>
      </c>
    </row>
    <row r="606" spans="1:22" ht="14.25" customHeight="1" x14ac:dyDescent="0.25">
      <c r="A606" s="48" t="str">
        <f>LEFT(Tabelle1[[#This Row],[Artikel'#]],4)</f>
        <v>F046</v>
      </c>
      <c r="B606" s="46" t="str">
        <f>MID(Tabelle1[[#This Row],[Artikel'#]],5,3)</f>
        <v>138</v>
      </c>
      <c r="C606" s="48" t="str">
        <f>RIGHT(Tabelle1[[#This Row],[Artikel'#]],3)</f>
        <v>401</v>
      </c>
      <c r="D606" s="46">
        <f>IF(Tabelle1[[#This Row],[Winkel2]]=select!$A$2,1,0)</f>
        <v>1</v>
      </c>
      <c r="E6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6" s="46">
        <f>IF(select!$E$16=IF(Tabelle1[[#This Row],[mit Dämpfung]]=1,1,IF(Tabelle1[[#This Row],[ohne Dämpfung]]=1,2,IF(Tabelle1[[#This Row],[ohne Feder]]=1,3,0))),1,0)</f>
        <v>0</v>
      </c>
      <c r="G606" s="46">
        <f>IF(Tabelle1[[#This Row],[Links]]=select!$I$2,1,0)</f>
        <v>0</v>
      </c>
      <c r="H606" s="46">
        <f>IF(IF(Tabelle1[[#This Row],[Anschrauben]]=1,1,IF(Tabelle1[[#This Row],[Einpressen]]=1,2,IF(Tabelle1[[#This Row],[Werkzeuglos]]=1,3,0)))=select!$E$7,1,0)</f>
        <v>1</v>
      </c>
      <c r="I606" s="46">
        <f ca="1">IF(Tabelle1[[#This Row],[Winkel]]+Tabelle1[[#This Row],[Kröpfung]]+Tabelle1[[#This Row],[Däpfung]]+Tabelle1[[#This Row],[Bohrbild]]+Tabelle1[[#This Row],[Scharnierbefestigung]]=5,1,0)</f>
        <v>0</v>
      </c>
      <c r="J606" t="str">
        <f ca="1">Sprache!$A$57</f>
        <v>TIOMOS hinge TT-Click-on</v>
      </c>
      <c r="K606" t="str">
        <f ca="1">"110°, G-BB, K00, "&amp;Sprache!A59&amp;", ni"</f>
        <v>110°, G-BB, K00, Dowel, ni</v>
      </c>
      <c r="L606" t="str">
        <f ca="1">Sprache!$A$63</f>
        <v>TIOMOS Click-on hinges</v>
      </c>
      <c r="M606">
        <v>0</v>
      </c>
      <c r="N606" t="s">
        <v>13</v>
      </c>
      <c r="O606">
        <v>110</v>
      </c>
      <c r="P606">
        <v>0</v>
      </c>
      <c r="Q606">
        <v>0</v>
      </c>
      <c r="R606">
        <v>1</v>
      </c>
      <c r="S606">
        <v>0</v>
      </c>
      <c r="T606">
        <v>1</v>
      </c>
      <c r="U606">
        <v>0</v>
      </c>
      <c r="V606" s="14" t="s">
        <v>663</v>
      </c>
    </row>
    <row r="607" spans="1:22" ht="14.25" customHeight="1" x14ac:dyDescent="0.25">
      <c r="A607" s="48" t="str">
        <f>LEFT(Tabelle1[[#This Row],[Artikel'#]],4)</f>
        <v>F046</v>
      </c>
      <c r="B607" s="46" t="str">
        <f>MID(Tabelle1[[#This Row],[Artikel'#]],5,3)</f>
        <v>138</v>
      </c>
      <c r="C607" s="48" t="str">
        <f>RIGHT(Tabelle1[[#This Row],[Artikel'#]],3)</f>
        <v>402</v>
      </c>
      <c r="D607" s="46">
        <f>IF(Tabelle1[[#This Row],[Winkel2]]=select!$A$2,1,0)</f>
        <v>1</v>
      </c>
      <c r="E6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7" s="46">
        <f>IF(select!$E$16=IF(Tabelle1[[#This Row],[mit Dämpfung]]=1,1,IF(Tabelle1[[#This Row],[ohne Dämpfung]]=1,2,IF(Tabelle1[[#This Row],[ohne Feder]]=1,3,0))),1,0)</f>
        <v>0</v>
      </c>
      <c r="G607" s="46">
        <f>IF(Tabelle1[[#This Row],[Links]]=select!$I$2,1,0)</f>
        <v>0</v>
      </c>
      <c r="H607" s="46">
        <f>IF(IF(Tabelle1[[#This Row],[Anschrauben]]=1,1,IF(Tabelle1[[#This Row],[Einpressen]]=1,2,IF(Tabelle1[[#This Row],[Werkzeuglos]]=1,3,0)))=select!$E$7,1,0)</f>
        <v>1</v>
      </c>
      <c r="I607" s="46">
        <f ca="1">IF(Tabelle1[[#This Row],[Winkel]]+Tabelle1[[#This Row],[Kröpfung]]+Tabelle1[[#This Row],[Däpfung]]+Tabelle1[[#This Row],[Bohrbild]]+Tabelle1[[#This Row],[Scharnierbefestigung]]=5,1,0)</f>
        <v>0</v>
      </c>
      <c r="J607" t="str">
        <f ca="1">Sprache!$A$57</f>
        <v>TIOMOS hinge TT-Click-on</v>
      </c>
      <c r="K607" t="str">
        <f ca="1">"110°, G-BB, K03, "&amp;Sprache!A59&amp;", ni"</f>
        <v>110°, G-BB, K03, Dowel, ni</v>
      </c>
      <c r="L607" t="str">
        <f ca="1">Sprache!$A$63</f>
        <v>TIOMOS Click-on hinges</v>
      </c>
      <c r="M607">
        <v>3</v>
      </c>
      <c r="N607" t="s">
        <v>13</v>
      </c>
      <c r="O607">
        <v>110</v>
      </c>
      <c r="P607">
        <v>0</v>
      </c>
      <c r="Q607">
        <v>0</v>
      </c>
      <c r="R607">
        <v>1</v>
      </c>
      <c r="S607">
        <v>0</v>
      </c>
      <c r="T607">
        <v>1</v>
      </c>
      <c r="U607">
        <v>0</v>
      </c>
      <c r="V607" s="14" t="s">
        <v>664</v>
      </c>
    </row>
    <row r="608" spans="1:22" ht="14.25" customHeight="1" x14ac:dyDescent="0.25">
      <c r="A608" s="48" t="str">
        <f>LEFT(Tabelle1[[#This Row],[Artikel'#]],4)</f>
        <v>F046</v>
      </c>
      <c r="B608" s="46" t="str">
        <f>MID(Tabelle1[[#This Row],[Artikel'#]],5,3)</f>
        <v>138</v>
      </c>
      <c r="C608" s="48" t="str">
        <f>RIGHT(Tabelle1[[#This Row],[Artikel'#]],3)</f>
        <v>403</v>
      </c>
      <c r="D608" s="46">
        <f>IF(Tabelle1[[#This Row],[Winkel2]]=select!$A$2,1,0)</f>
        <v>1</v>
      </c>
      <c r="E6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08" s="46">
        <f>IF(select!$E$16=IF(Tabelle1[[#This Row],[mit Dämpfung]]=1,1,IF(Tabelle1[[#This Row],[ohne Dämpfung]]=1,2,IF(Tabelle1[[#This Row],[ohne Feder]]=1,3,0))),1,0)</f>
        <v>0</v>
      </c>
      <c r="G608" s="46">
        <f>IF(Tabelle1[[#This Row],[Links]]=select!$I$2,1,0)</f>
        <v>0</v>
      </c>
      <c r="H608" s="46">
        <f>IF(IF(Tabelle1[[#This Row],[Anschrauben]]=1,1,IF(Tabelle1[[#This Row],[Einpressen]]=1,2,IF(Tabelle1[[#This Row],[Werkzeuglos]]=1,3,0)))=select!$E$7,1,0)</f>
        <v>1</v>
      </c>
      <c r="I608" s="46">
        <f ca="1">IF(Tabelle1[[#This Row],[Winkel]]+Tabelle1[[#This Row],[Kröpfung]]+Tabelle1[[#This Row],[Däpfung]]+Tabelle1[[#This Row],[Bohrbild]]+Tabelle1[[#This Row],[Scharnierbefestigung]]=5,1,0)</f>
        <v>0</v>
      </c>
      <c r="J608" t="str">
        <f ca="1">Sprache!$A$57</f>
        <v>TIOMOS hinge TT-Click-on</v>
      </c>
      <c r="K608" t="str">
        <f ca="1">"110°, G-BB, K95, "&amp;Sprache!A59&amp;", ni"</f>
        <v>110°, G-BB, K95, Dowel, ni</v>
      </c>
      <c r="L608" t="str">
        <f ca="1">Sprache!$A$63</f>
        <v>TIOMOS Click-on hinges</v>
      </c>
      <c r="M608">
        <v>9.5</v>
      </c>
      <c r="N608" t="s">
        <v>13</v>
      </c>
      <c r="O608">
        <v>110</v>
      </c>
      <c r="P608">
        <v>0</v>
      </c>
      <c r="Q608">
        <v>0</v>
      </c>
      <c r="R608">
        <v>1</v>
      </c>
      <c r="S608">
        <v>0</v>
      </c>
      <c r="T608">
        <v>1</v>
      </c>
      <c r="U608">
        <v>0</v>
      </c>
      <c r="V608" s="14" t="s">
        <v>665</v>
      </c>
    </row>
    <row r="609" spans="1:22" ht="14.25" customHeight="1" x14ac:dyDescent="0.25">
      <c r="A609" s="48" t="str">
        <f>LEFT(Tabelle1[[#This Row],[Artikel'#]],4)</f>
        <v>F046</v>
      </c>
      <c r="B609" s="46" t="str">
        <f>MID(Tabelle1[[#This Row],[Artikel'#]],5,3)</f>
        <v>138</v>
      </c>
      <c r="C609" s="48" t="str">
        <f>RIGHT(Tabelle1[[#This Row],[Artikel'#]],3)</f>
        <v>404</v>
      </c>
      <c r="D609" s="46">
        <f>IF(Tabelle1[[#This Row],[Winkel2]]=select!$A$2,1,0)</f>
        <v>1</v>
      </c>
      <c r="E6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09" s="46">
        <f>IF(select!$E$16=IF(Tabelle1[[#This Row],[mit Dämpfung]]=1,1,IF(Tabelle1[[#This Row],[ohne Dämpfung]]=1,2,IF(Tabelle1[[#This Row],[ohne Feder]]=1,3,0))),1,0)</f>
        <v>0</v>
      </c>
      <c r="G609" s="46">
        <f>IF(Tabelle1[[#This Row],[Links]]=select!$I$2,1,0)</f>
        <v>0</v>
      </c>
      <c r="H609" s="46">
        <f>IF(IF(Tabelle1[[#This Row],[Anschrauben]]=1,1,IF(Tabelle1[[#This Row],[Einpressen]]=1,2,IF(Tabelle1[[#This Row],[Werkzeuglos]]=1,3,0)))=select!$E$7,1,0)</f>
        <v>1</v>
      </c>
      <c r="I609" s="46">
        <f ca="1">IF(Tabelle1[[#This Row],[Winkel]]+Tabelle1[[#This Row],[Kröpfung]]+Tabelle1[[#This Row],[Däpfung]]+Tabelle1[[#This Row],[Bohrbild]]+Tabelle1[[#This Row],[Scharnierbefestigung]]=5,1,0)</f>
        <v>0</v>
      </c>
      <c r="J609" t="str">
        <f ca="1">Sprache!$A$57</f>
        <v>TIOMOS hinge TT-Click-on</v>
      </c>
      <c r="K609" t="str">
        <f ca="1">"110°, G-BB, K19, "&amp;Sprache!A59&amp;", ni"</f>
        <v>110°, G-BB, K19, Dowel, ni</v>
      </c>
      <c r="L609" t="str">
        <f ca="1">Sprache!$A$63</f>
        <v>TIOMOS Click-on hinges</v>
      </c>
      <c r="M609">
        <v>19</v>
      </c>
      <c r="N609" t="s">
        <v>13</v>
      </c>
      <c r="O609">
        <v>110</v>
      </c>
      <c r="P609">
        <v>0</v>
      </c>
      <c r="Q609">
        <v>0</v>
      </c>
      <c r="R609">
        <v>1</v>
      </c>
      <c r="S609">
        <v>0</v>
      </c>
      <c r="T609">
        <v>1</v>
      </c>
      <c r="U609">
        <v>0</v>
      </c>
      <c r="V609" s="14" t="s">
        <v>666</v>
      </c>
    </row>
    <row r="610" spans="1:22" ht="14.25" customHeight="1" x14ac:dyDescent="0.25">
      <c r="A610" s="48" t="str">
        <f>LEFT(Tabelle1[[#This Row],[Artikel'#]],4)</f>
        <v>F046</v>
      </c>
      <c r="B610" s="46" t="str">
        <f>MID(Tabelle1[[#This Row],[Artikel'#]],5,3)</f>
        <v>138</v>
      </c>
      <c r="C610" s="48" t="str">
        <f>RIGHT(Tabelle1[[#This Row],[Artikel'#]],3)</f>
        <v>425</v>
      </c>
      <c r="D610" s="46">
        <f>IF(Tabelle1[[#This Row],[Winkel2]]=select!$A$2,1,0)</f>
        <v>0</v>
      </c>
      <c r="E6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0" s="46">
        <f>IF(select!$E$16=IF(Tabelle1[[#This Row],[mit Dämpfung]]=1,1,IF(Tabelle1[[#This Row],[ohne Dämpfung]]=1,2,IF(Tabelle1[[#This Row],[ohne Feder]]=1,3,0))),1,0)</f>
        <v>0</v>
      </c>
      <c r="G610" s="46">
        <f>IF(Tabelle1[[#This Row],[Links]]=select!$I$2,1,0)</f>
        <v>0</v>
      </c>
      <c r="H610" s="46">
        <f>IF(IF(Tabelle1[[#This Row],[Anschrauben]]=1,1,IF(Tabelle1[[#This Row],[Einpressen]]=1,2,IF(Tabelle1[[#This Row],[Werkzeuglos]]=1,3,0)))=select!$E$7,1,0)</f>
        <v>0</v>
      </c>
      <c r="I610" s="46">
        <f ca="1">IF(Tabelle1[[#This Row],[Winkel]]+Tabelle1[[#This Row],[Kröpfung]]+Tabelle1[[#This Row],[Däpfung]]+Tabelle1[[#This Row],[Bohrbild]]+Tabelle1[[#This Row],[Scharnierbefestigung]]=5,1,0)</f>
        <v>0</v>
      </c>
      <c r="J610" t="str">
        <f ca="1">Sprache!$A$57</f>
        <v>TIOMOS hinge TT-Click-on</v>
      </c>
      <c r="K610" t="s">
        <v>309</v>
      </c>
      <c r="L610" t="str">
        <f ca="1">Sprache!$A$63</f>
        <v>TIOMOS Click-on hinges</v>
      </c>
      <c r="M610">
        <v>0</v>
      </c>
      <c r="N610" t="s">
        <v>13</v>
      </c>
      <c r="O610">
        <v>120</v>
      </c>
      <c r="P610">
        <v>0</v>
      </c>
      <c r="Q610">
        <v>0</v>
      </c>
      <c r="R610">
        <v>1</v>
      </c>
      <c r="S610">
        <v>1</v>
      </c>
      <c r="T610">
        <v>0</v>
      </c>
      <c r="U610">
        <v>0</v>
      </c>
      <c r="V610" s="14" t="s">
        <v>667</v>
      </c>
    </row>
    <row r="611" spans="1:22" ht="14.25" customHeight="1" x14ac:dyDescent="0.25">
      <c r="A611" s="48" t="str">
        <f>LEFT(Tabelle1[[#This Row],[Artikel'#]],4)</f>
        <v>F046</v>
      </c>
      <c r="B611" s="46" t="str">
        <f>MID(Tabelle1[[#This Row],[Artikel'#]],5,3)</f>
        <v>138</v>
      </c>
      <c r="C611" s="48" t="str">
        <f>RIGHT(Tabelle1[[#This Row],[Artikel'#]],3)</f>
        <v>426</v>
      </c>
      <c r="D611" s="46">
        <f>IF(Tabelle1[[#This Row],[Winkel2]]=select!$A$2,1,0)</f>
        <v>0</v>
      </c>
      <c r="E6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1" s="46">
        <f>IF(select!$E$16=IF(Tabelle1[[#This Row],[mit Dämpfung]]=1,1,IF(Tabelle1[[#This Row],[ohne Dämpfung]]=1,2,IF(Tabelle1[[#This Row],[ohne Feder]]=1,3,0))),1,0)</f>
        <v>0</v>
      </c>
      <c r="G611" s="46">
        <f>IF(Tabelle1[[#This Row],[Links]]=select!$I$2,1,0)</f>
        <v>0</v>
      </c>
      <c r="H611" s="46">
        <f>IF(IF(Tabelle1[[#This Row],[Anschrauben]]=1,1,IF(Tabelle1[[#This Row],[Einpressen]]=1,2,IF(Tabelle1[[#This Row],[Werkzeuglos]]=1,3,0)))=select!$E$7,1,0)</f>
        <v>0</v>
      </c>
      <c r="I611" s="46">
        <f ca="1">IF(Tabelle1[[#This Row],[Winkel]]+Tabelle1[[#This Row],[Kröpfung]]+Tabelle1[[#This Row],[Däpfung]]+Tabelle1[[#This Row],[Bohrbild]]+Tabelle1[[#This Row],[Scharnierbefestigung]]=5,1,0)</f>
        <v>0</v>
      </c>
      <c r="J611" t="str">
        <f ca="1">Sprache!$A$57</f>
        <v>TIOMOS hinge TT-Click-on</v>
      </c>
      <c r="K611" t="s">
        <v>311</v>
      </c>
      <c r="L611" t="str">
        <f ca="1">Sprache!$A$63</f>
        <v>TIOMOS Click-on hinges</v>
      </c>
      <c r="M611">
        <v>3</v>
      </c>
      <c r="N611" t="s">
        <v>13</v>
      </c>
      <c r="O611">
        <v>120</v>
      </c>
      <c r="P611">
        <v>0</v>
      </c>
      <c r="Q611">
        <v>0</v>
      </c>
      <c r="R611">
        <v>1</v>
      </c>
      <c r="S611">
        <v>1</v>
      </c>
      <c r="T611">
        <v>0</v>
      </c>
      <c r="U611">
        <v>0</v>
      </c>
      <c r="V611" s="14" t="s">
        <v>668</v>
      </c>
    </row>
    <row r="612" spans="1:22" ht="14.25" customHeight="1" x14ac:dyDescent="0.25">
      <c r="A612" s="48" t="str">
        <f>LEFT(Tabelle1[[#This Row],[Artikel'#]],4)</f>
        <v>F046</v>
      </c>
      <c r="B612" s="46" t="str">
        <f>MID(Tabelle1[[#This Row],[Artikel'#]],5,3)</f>
        <v>138</v>
      </c>
      <c r="C612" s="48" t="str">
        <f>RIGHT(Tabelle1[[#This Row],[Artikel'#]],3)</f>
        <v>427</v>
      </c>
      <c r="D612" s="46">
        <f>IF(Tabelle1[[#This Row],[Winkel2]]=select!$A$2,1,0)</f>
        <v>0</v>
      </c>
      <c r="E6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12" s="46">
        <f>IF(select!$E$16=IF(Tabelle1[[#This Row],[mit Dämpfung]]=1,1,IF(Tabelle1[[#This Row],[ohne Dämpfung]]=1,2,IF(Tabelle1[[#This Row],[ohne Feder]]=1,3,0))),1,0)</f>
        <v>0</v>
      </c>
      <c r="G612" s="46">
        <f>IF(Tabelle1[[#This Row],[Links]]=select!$I$2,1,0)</f>
        <v>0</v>
      </c>
      <c r="H612" s="46">
        <f>IF(IF(Tabelle1[[#This Row],[Anschrauben]]=1,1,IF(Tabelle1[[#This Row],[Einpressen]]=1,2,IF(Tabelle1[[#This Row],[Werkzeuglos]]=1,3,0)))=select!$E$7,1,0)</f>
        <v>0</v>
      </c>
      <c r="I612" s="46">
        <f ca="1">IF(Tabelle1[[#This Row],[Winkel]]+Tabelle1[[#This Row],[Kröpfung]]+Tabelle1[[#This Row],[Däpfung]]+Tabelle1[[#This Row],[Bohrbild]]+Tabelle1[[#This Row],[Scharnierbefestigung]]=5,1,0)</f>
        <v>0</v>
      </c>
      <c r="J612" t="str">
        <f ca="1">Sprache!$A$57</f>
        <v>TIOMOS hinge TT-Click-on</v>
      </c>
      <c r="K612" t="s">
        <v>313</v>
      </c>
      <c r="L612" t="str">
        <f ca="1">Sprache!$A$63</f>
        <v>TIOMOS Click-on hinges</v>
      </c>
      <c r="M612">
        <v>9.5</v>
      </c>
      <c r="N612" t="s">
        <v>13</v>
      </c>
      <c r="O612">
        <v>120</v>
      </c>
      <c r="P612">
        <v>0</v>
      </c>
      <c r="Q612">
        <v>0</v>
      </c>
      <c r="R612">
        <v>1</v>
      </c>
      <c r="S612">
        <v>1</v>
      </c>
      <c r="T612">
        <v>0</v>
      </c>
      <c r="U612">
        <v>0</v>
      </c>
      <c r="V612" s="14" t="s">
        <v>669</v>
      </c>
    </row>
    <row r="613" spans="1:22" ht="14.25" customHeight="1" x14ac:dyDescent="0.25">
      <c r="A613" s="48" t="str">
        <f>LEFT(Tabelle1[[#This Row],[Artikel'#]],4)</f>
        <v>F046</v>
      </c>
      <c r="B613" s="46" t="str">
        <f>MID(Tabelle1[[#This Row],[Artikel'#]],5,3)</f>
        <v>138</v>
      </c>
      <c r="C613" s="48" t="str">
        <f>RIGHT(Tabelle1[[#This Row],[Artikel'#]],3)</f>
        <v>429</v>
      </c>
      <c r="D613" s="46">
        <f>IF(Tabelle1[[#This Row],[Winkel2]]=select!$A$2,1,0)</f>
        <v>0</v>
      </c>
      <c r="E6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3" s="46">
        <f>IF(select!$E$16=IF(Tabelle1[[#This Row],[mit Dämpfung]]=1,1,IF(Tabelle1[[#This Row],[ohne Dämpfung]]=1,2,IF(Tabelle1[[#This Row],[ohne Feder]]=1,3,0))),1,0)</f>
        <v>0</v>
      </c>
      <c r="G613" s="46">
        <f>IF(Tabelle1[[#This Row],[Links]]=select!$I$2,1,0)</f>
        <v>0</v>
      </c>
      <c r="H613" s="46">
        <f>IF(IF(Tabelle1[[#This Row],[Anschrauben]]=1,1,IF(Tabelle1[[#This Row],[Einpressen]]=1,2,IF(Tabelle1[[#This Row],[Werkzeuglos]]=1,3,0)))=select!$E$7,1,0)</f>
        <v>1</v>
      </c>
      <c r="I613" s="46">
        <f ca="1">IF(Tabelle1[[#This Row],[Winkel]]+Tabelle1[[#This Row],[Kröpfung]]+Tabelle1[[#This Row],[Däpfung]]+Tabelle1[[#This Row],[Bohrbild]]+Tabelle1[[#This Row],[Scharnierbefestigung]]=5,1,0)</f>
        <v>0</v>
      </c>
      <c r="J613" t="str">
        <f ca="1">Sprache!$A$57</f>
        <v>TIOMOS hinge TT-Click-on</v>
      </c>
      <c r="K613" t="str">
        <f ca="1">"120°, G-BB, K00, "&amp;Sprache!A59&amp;", ni"</f>
        <v>120°, G-BB, K00, Dowel, ni</v>
      </c>
      <c r="L613" t="str">
        <f ca="1">Sprache!$A$63</f>
        <v>TIOMOS Click-on hinges</v>
      </c>
      <c r="M613">
        <v>0</v>
      </c>
      <c r="N613" t="s">
        <v>13</v>
      </c>
      <c r="O613">
        <v>120</v>
      </c>
      <c r="P613">
        <v>0</v>
      </c>
      <c r="Q613">
        <v>0</v>
      </c>
      <c r="R613">
        <v>1</v>
      </c>
      <c r="S613">
        <v>0</v>
      </c>
      <c r="T613">
        <v>1</v>
      </c>
      <c r="U613">
        <v>0</v>
      </c>
      <c r="V613" s="14" t="s">
        <v>670</v>
      </c>
    </row>
    <row r="614" spans="1:22" ht="14.25" customHeight="1" x14ac:dyDescent="0.25">
      <c r="A614" s="48" t="str">
        <f>LEFT(Tabelle1[[#This Row],[Artikel'#]],4)</f>
        <v>F046</v>
      </c>
      <c r="B614" s="46" t="str">
        <f>MID(Tabelle1[[#This Row],[Artikel'#]],5,3)</f>
        <v>138</v>
      </c>
      <c r="C614" s="48" t="str">
        <f>RIGHT(Tabelle1[[#This Row],[Artikel'#]],3)</f>
        <v>430</v>
      </c>
      <c r="D614" s="46">
        <f>IF(Tabelle1[[#This Row],[Winkel2]]=select!$A$2,1,0)</f>
        <v>0</v>
      </c>
      <c r="E6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4" s="46">
        <f>IF(select!$E$16=IF(Tabelle1[[#This Row],[mit Dämpfung]]=1,1,IF(Tabelle1[[#This Row],[ohne Dämpfung]]=1,2,IF(Tabelle1[[#This Row],[ohne Feder]]=1,3,0))),1,0)</f>
        <v>0</v>
      </c>
      <c r="G614" s="46">
        <f>IF(Tabelle1[[#This Row],[Links]]=select!$I$2,1,0)</f>
        <v>0</v>
      </c>
      <c r="H614" s="46">
        <f>IF(IF(Tabelle1[[#This Row],[Anschrauben]]=1,1,IF(Tabelle1[[#This Row],[Einpressen]]=1,2,IF(Tabelle1[[#This Row],[Werkzeuglos]]=1,3,0)))=select!$E$7,1,0)</f>
        <v>1</v>
      </c>
      <c r="I614" s="46">
        <f ca="1">IF(Tabelle1[[#This Row],[Winkel]]+Tabelle1[[#This Row],[Kröpfung]]+Tabelle1[[#This Row],[Däpfung]]+Tabelle1[[#This Row],[Bohrbild]]+Tabelle1[[#This Row],[Scharnierbefestigung]]=5,1,0)</f>
        <v>0</v>
      </c>
      <c r="J614" t="str">
        <f ca="1">Sprache!$A$57</f>
        <v>TIOMOS hinge TT-Click-on</v>
      </c>
      <c r="K614" t="str">
        <f ca="1">"120°, G-BB, K03, "&amp;Sprache!A59&amp;", ni"</f>
        <v>120°, G-BB, K03, Dowel, ni</v>
      </c>
      <c r="L614" t="str">
        <f ca="1">Sprache!$A$63</f>
        <v>TIOMOS Click-on hinges</v>
      </c>
      <c r="M614">
        <v>3</v>
      </c>
      <c r="N614" t="s">
        <v>13</v>
      </c>
      <c r="O614">
        <v>120</v>
      </c>
      <c r="P614">
        <v>0</v>
      </c>
      <c r="Q614">
        <v>0</v>
      </c>
      <c r="R614">
        <v>1</v>
      </c>
      <c r="S614">
        <v>0</v>
      </c>
      <c r="T614">
        <v>1</v>
      </c>
      <c r="U614">
        <v>0</v>
      </c>
      <c r="V614" s="14" t="s">
        <v>671</v>
      </c>
    </row>
    <row r="615" spans="1:22" ht="14.25" customHeight="1" x14ac:dyDescent="0.25">
      <c r="A615" s="48" t="str">
        <f>LEFT(Tabelle1[[#This Row],[Artikel'#]],4)</f>
        <v>F046</v>
      </c>
      <c r="B615" s="46" t="str">
        <f>MID(Tabelle1[[#This Row],[Artikel'#]],5,3)</f>
        <v>138</v>
      </c>
      <c r="C615" s="48" t="str">
        <f>RIGHT(Tabelle1[[#This Row],[Artikel'#]],3)</f>
        <v>431</v>
      </c>
      <c r="D615" s="46">
        <f>IF(Tabelle1[[#This Row],[Winkel2]]=select!$A$2,1,0)</f>
        <v>0</v>
      </c>
      <c r="E6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15" s="46">
        <f>IF(select!$E$16=IF(Tabelle1[[#This Row],[mit Dämpfung]]=1,1,IF(Tabelle1[[#This Row],[ohne Dämpfung]]=1,2,IF(Tabelle1[[#This Row],[ohne Feder]]=1,3,0))),1,0)</f>
        <v>0</v>
      </c>
      <c r="G615" s="46">
        <f>IF(Tabelle1[[#This Row],[Links]]=select!$I$2,1,0)</f>
        <v>0</v>
      </c>
      <c r="H615" s="46">
        <f>IF(IF(Tabelle1[[#This Row],[Anschrauben]]=1,1,IF(Tabelle1[[#This Row],[Einpressen]]=1,2,IF(Tabelle1[[#This Row],[Werkzeuglos]]=1,3,0)))=select!$E$7,1,0)</f>
        <v>1</v>
      </c>
      <c r="I615" s="46">
        <f ca="1">IF(Tabelle1[[#This Row],[Winkel]]+Tabelle1[[#This Row],[Kröpfung]]+Tabelle1[[#This Row],[Däpfung]]+Tabelle1[[#This Row],[Bohrbild]]+Tabelle1[[#This Row],[Scharnierbefestigung]]=5,1,0)</f>
        <v>0</v>
      </c>
      <c r="J615" t="str">
        <f ca="1">Sprache!$A$57</f>
        <v>TIOMOS hinge TT-Click-on</v>
      </c>
      <c r="K615" t="str">
        <f ca="1">"120°, G-BB, K95, "&amp;Sprache!A59&amp;", ni"</f>
        <v>120°, G-BB, K95, Dowel, ni</v>
      </c>
      <c r="L615" t="str">
        <f ca="1">Sprache!$A$63</f>
        <v>TIOMOS Click-on hinges</v>
      </c>
      <c r="M615">
        <v>9.5</v>
      </c>
      <c r="N615" t="s">
        <v>13</v>
      </c>
      <c r="O615">
        <v>120</v>
      </c>
      <c r="P615">
        <v>0</v>
      </c>
      <c r="Q615">
        <v>0</v>
      </c>
      <c r="R615">
        <v>1</v>
      </c>
      <c r="S615">
        <v>0</v>
      </c>
      <c r="T615">
        <v>1</v>
      </c>
      <c r="U615">
        <v>0</v>
      </c>
      <c r="V615" s="14" t="s">
        <v>672</v>
      </c>
    </row>
    <row r="616" spans="1:22" ht="14.25" customHeight="1" x14ac:dyDescent="0.25">
      <c r="A616" s="48" t="str">
        <f>LEFT(Tabelle1[[#This Row],[Artikel'#]],4)</f>
        <v>F046</v>
      </c>
      <c r="B616" s="46" t="str">
        <f>MID(Tabelle1[[#This Row],[Artikel'#]],5,3)</f>
        <v>138</v>
      </c>
      <c r="C616" s="48" t="str">
        <f>RIGHT(Tabelle1[[#This Row],[Artikel'#]],3)</f>
        <v>439</v>
      </c>
      <c r="D616" s="46">
        <f>IF(Tabelle1[[#This Row],[Winkel2]]=select!$A$2,1,0)</f>
        <v>0</v>
      </c>
      <c r="E6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6" s="46">
        <f>IF(select!$E$16=IF(Tabelle1[[#This Row],[mit Dämpfung]]=1,1,IF(Tabelle1[[#This Row],[ohne Dämpfung]]=1,2,IF(Tabelle1[[#This Row],[ohne Feder]]=1,3,0))),1,0)</f>
        <v>0</v>
      </c>
      <c r="G616" s="46">
        <f>IF(Tabelle1[[#This Row],[Links]]=select!$I$2,1,0)</f>
        <v>0</v>
      </c>
      <c r="H616" s="46">
        <f>IF(IF(Tabelle1[[#This Row],[Anschrauben]]=1,1,IF(Tabelle1[[#This Row],[Einpressen]]=1,2,IF(Tabelle1[[#This Row],[Werkzeuglos]]=1,3,0)))=select!$E$7,1,0)</f>
        <v>0</v>
      </c>
      <c r="I616" s="46">
        <f ca="1">IF(Tabelle1[[#This Row],[Winkel]]+Tabelle1[[#This Row],[Kröpfung]]+Tabelle1[[#This Row],[Däpfung]]+Tabelle1[[#This Row],[Bohrbild]]+Tabelle1[[#This Row],[Scharnierbefestigung]]=5,1,0)</f>
        <v>0</v>
      </c>
      <c r="J616" t="str">
        <f ca="1">Sprache!$A$57</f>
        <v>TIOMOS hinge TT-Click-on</v>
      </c>
      <c r="K616" t="s">
        <v>318</v>
      </c>
      <c r="L616" t="str">
        <f ca="1">Sprache!$A$63</f>
        <v>TIOMOS Click-on hinges</v>
      </c>
      <c r="M616">
        <v>0</v>
      </c>
      <c r="N616" s="13" t="s">
        <v>13</v>
      </c>
      <c r="O616">
        <v>160</v>
      </c>
      <c r="P616">
        <v>0</v>
      </c>
      <c r="Q616">
        <v>0</v>
      </c>
      <c r="R616">
        <v>1</v>
      </c>
      <c r="S616">
        <v>1</v>
      </c>
      <c r="T616">
        <v>0</v>
      </c>
      <c r="U616">
        <v>0</v>
      </c>
      <c r="V616" s="14" t="s">
        <v>673</v>
      </c>
    </row>
    <row r="617" spans="1:22" ht="14.25" customHeight="1" x14ac:dyDescent="0.25">
      <c r="A617" s="48" t="str">
        <f>LEFT(Tabelle1[[#This Row],[Artikel'#]],4)</f>
        <v>F046</v>
      </c>
      <c r="B617" s="46" t="str">
        <f>MID(Tabelle1[[#This Row],[Artikel'#]],5,3)</f>
        <v>138</v>
      </c>
      <c r="C617" s="48" t="str">
        <f>RIGHT(Tabelle1[[#This Row],[Artikel'#]],3)</f>
        <v>440</v>
      </c>
      <c r="D617" s="46">
        <f>IF(Tabelle1[[#This Row],[Winkel2]]=select!$A$2,1,0)</f>
        <v>0</v>
      </c>
      <c r="E6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7" s="46">
        <f>IF(select!$E$16=IF(Tabelle1[[#This Row],[mit Dämpfung]]=1,1,IF(Tabelle1[[#This Row],[ohne Dämpfung]]=1,2,IF(Tabelle1[[#This Row],[ohne Feder]]=1,3,0))),1,0)</f>
        <v>0</v>
      </c>
      <c r="G617" s="46">
        <f>IF(Tabelle1[[#This Row],[Links]]=select!$I$2,1,0)</f>
        <v>0</v>
      </c>
      <c r="H617" s="46">
        <f>IF(IF(Tabelle1[[#This Row],[Anschrauben]]=1,1,IF(Tabelle1[[#This Row],[Einpressen]]=1,2,IF(Tabelle1[[#This Row],[Werkzeuglos]]=1,3,0)))=select!$E$7,1,0)</f>
        <v>0</v>
      </c>
      <c r="I617" s="46">
        <f ca="1">IF(Tabelle1[[#This Row],[Winkel]]+Tabelle1[[#This Row],[Kröpfung]]+Tabelle1[[#This Row],[Däpfung]]+Tabelle1[[#This Row],[Bohrbild]]+Tabelle1[[#This Row],[Scharnierbefestigung]]=5,1,0)</f>
        <v>0</v>
      </c>
      <c r="J617" t="str">
        <f ca="1">Sprache!$A$57</f>
        <v>TIOMOS hinge TT-Click-on</v>
      </c>
      <c r="K617" t="s">
        <v>320</v>
      </c>
      <c r="L617" t="str">
        <f ca="1">Sprache!$A$63</f>
        <v>TIOMOS Click-on hinges</v>
      </c>
      <c r="M617">
        <v>3</v>
      </c>
      <c r="N617" t="s">
        <v>13</v>
      </c>
      <c r="O617">
        <v>160</v>
      </c>
      <c r="P617">
        <v>0</v>
      </c>
      <c r="Q617">
        <v>0</v>
      </c>
      <c r="R617">
        <v>1</v>
      </c>
      <c r="S617">
        <v>1</v>
      </c>
      <c r="T617">
        <v>0</v>
      </c>
      <c r="U617">
        <v>0</v>
      </c>
      <c r="V617" s="14" t="s">
        <v>674</v>
      </c>
    </row>
    <row r="618" spans="1:22" ht="14.25" customHeight="1" x14ac:dyDescent="0.25">
      <c r="A618" s="48" t="str">
        <f>LEFT(Tabelle1[[#This Row],[Artikel'#]],4)</f>
        <v>F046</v>
      </c>
      <c r="B618" s="46" t="str">
        <f>MID(Tabelle1[[#This Row],[Artikel'#]],5,3)</f>
        <v>138</v>
      </c>
      <c r="C618" s="48" t="str">
        <f>RIGHT(Tabelle1[[#This Row],[Artikel'#]],3)</f>
        <v>441</v>
      </c>
      <c r="D618" s="46">
        <f>IF(Tabelle1[[#This Row],[Winkel2]]=select!$A$2,1,0)</f>
        <v>0</v>
      </c>
      <c r="E6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18" s="46">
        <f>IF(select!$E$16=IF(Tabelle1[[#This Row],[mit Dämpfung]]=1,1,IF(Tabelle1[[#This Row],[ohne Dämpfung]]=1,2,IF(Tabelle1[[#This Row],[ohne Feder]]=1,3,0))),1,0)</f>
        <v>0</v>
      </c>
      <c r="G618" s="46">
        <f>IF(Tabelle1[[#This Row],[Links]]=select!$I$2,1,0)</f>
        <v>0</v>
      </c>
      <c r="H618" s="46">
        <f>IF(IF(Tabelle1[[#This Row],[Anschrauben]]=1,1,IF(Tabelle1[[#This Row],[Einpressen]]=1,2,IF(Tabelle1[[#This Row],[Werkzeuglos]]=1,3,0)))=select!$E$7,1,0)</f>
        <v>0</v>
      </c>
      <c r="I618" s="46">
        <f ca="1">IF(Tabelle1[[#This Row],[Winkel]]+Tabelle1[[#This Row],[Kröpfung]]+Tabelle1[[#This Row],[Däpfung]]+Tabelle1[[#This Row],[Bohrbild]]+Tabelle1[[#This Row],[Scharnierbefestigung]]=5,1,0)</f>
        <v>0</v>
      </c>
      <c r="J618" t="str">
        <f ca="1">Sprache!$A$57</f>
        <v>TIOMOS hinge TT-Click-on</v>
      </c>
      <c r="K618" t="s">
        <v>322</v>
      </c>
      <c r="L618" t="str">
        <f ca="1">Sprache!$A$63</f>
        <v>TIOMOS Click-on hinges</v>
      </c>
      <c r="M618">
        <v>9.5</v>
      </c>
      <c r="N618" t="s">
        <v>13</v>
      </c>
      <c r="O618">
        <v>160</v>
      </c>
      <c r="P618">
        <v>0</v>
      </c>
      <c r="Q618">
        <v>0</v>
      </c>
      <c r="R618">
        <v>1</v>
      </c>
      <c r="S618">
        <v>1</v>
      </c>
      <c r="T618">
        <v>0</v>
      </c>
      <c r="U618">
        <v>0</v>
      </c>
      <c r="V618" s="14" t="s">
        <v>675</v>
      </c>
    </row>
    <row r="619" spans="1:22" ht="14.25" customHeight="1" x14ac:dyDescent="0.25">
      <c r="A619" s="48" t="str">
        <f>LEFT(Tabelle1[[#This Row],[Artikel'#]],4)</f>
        <v>F046</v>
      </c>
      <c r="B619" s="46" t="str">
        <f>MID(Tabelle1[[#This Row],[Artikel'#]],5,3)</f>
        <v>138</v>
      </c>
      <c r="C619" s="48" t="str">
        <f>RIGHT(Tabelle1[[#This Row],[Artikel'#]],3)</f>
        <v>442</v>
      </c>
      <c r="D619" s="46">
        <f>IF(Tabelle1[[#This Row],[Winkel2]]=select!$A$2,1,0)</f>
        <v>0</v>
      </c>
      <c r="E6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19" s="46">
        <f>IF(select!$E$16=IF(Tabelle1[[#This Row],[mit Dämpfung]]=1,1,IF(Tabelle1[[#This Row],[ohne Dämpfung]]=1,2,IF(Tabelle1[[#This Row],[ohne Feder]]=1,3,0))),1,0)</f>
        <v>0</v>
      </c>
      <c r="G619" s="46">
        <f>IF(Tabelle1[[#This Row],[Links]]=select!$I$2,1,0)</f>
        <v>0</v>
      </c>
      <c r="H619" s="46">
        <f>IF(IF(Tabelle1[[#This Row],[Anschrauben]]=1,1,IF(Tabelle1[[#This Row],[Einpressen]]=1,2,IF(Tabelle1[[#This Row],[Werkzeuglos]]=1,3,0)))=select!$E$7,1,0)</f>
        <v>1</v>
      </c>
      <c r="I619" s="46">
        <f ca="1">IF(Tabelle1[[#This Row],[Winkel]]+Tabelle1[[#This Row],[Kröpfung]]+Tabelle1[[#This Row],[Däpfung]]+Tabelle1[[#This Row],[Bohrbild]]+Tabelle1[[#This Row],[Scharnierbefestigung]]=5,1,0)</f>
        <v>0</v>
      </c>
      <c r="J619" t="str">
        <f ca="1">Sprache!$A$57</f>
        <v>TIOMOS hinge TT-Click-on</v>
      </c>
      <c r="K619" t="str">
        <f ca="1">"160°, G-BB, K00, "&amp;Sprache!A59&amp;", ni"</f>
        <v>160°, G-BB, K00, Dowel, ni</v>
      </c>
      <c r="L619" t="str">
        <f ca="1">Sprache!$A$63</f>
        <v>TIOMOS Click-on hinges</v>
      </c>
      <c r="M619">
        <v>0</v>
      </c>
      <c r="N619" s="13" t="s">
        <v>13</v>
      </c>
      <c r="O619">
        <v>160</v>
      </c>
      <c r="P619">
        <v>0</v>
      </c>
      <c r="Q619">
        <v>0</v>
      </c>
      <c r="R619">
        <v>1</v>
      </c>
      <c r="S619">
        <v>0</v>
      </c>
      <c r="T619">
        <v>1</v>
      </c>
      <c r="U619">
        <v>0</v>
      </c>
      <c r="V619" s="14" t="s">
        <v>676</v>
      </c>
    </row>
    <row r="620" spans="1:22" ht="14.25" customHeight="1" x14ac:dyDescent="0.25">
      <c r="A620" s="48" t="str">
        <f>LEFT(Tabelle1[[#This Row],[Artikel'#]],4)</f>
        <v>F046</v>
      </c>
      <c r="B620" s="46" t="str">
        <f>MID(Tabelle1[[#This Row],[Artikel'#]],5,3)</f>
        <v>138</v>
      </c>
      <c r="C620" s="48" t="str">
        <f>RIGHT(Tabelle1[[#This Row],[Artikel'#]],3)</f>
        <v>443</v>
      </c>
      <c r="D620" s="46">
        <f>IF(Tabelle1[[#This Row],[Winkel2]]=select!$A$2,1,0)</f>
        <v>0</v>
      </c>
      <c r="E62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0" s="46">
        <f>IF(select!$E$16=IF(Tabelle1[[#This Row],[mit Dämpfung]]=1,1,IF(Tabelle1[[#This Row],[ohne Dämpfung]]=1,2,IF(Tabelle1[[#This Row],[ohne Feder]]=1,3,0))),1,0)</f>
        <v>0</v>
      </c>
      <c r="G620" s="46">
        <f>IF(Tabelle1[[#This Row],[Links]]=select!$I$2,1,0)</f>
        <v>0</v>
      </c>
      <c r="H620" s="46">
        <f>IF(IF(Tabelle1[[#This Row],[Anschrauben]]=1,1,IF(Tabelle1[[#This Row],[Einpressen]]=1,2,IF(Tabelle1[[#This Row],[Werkzeuglos]]=1,3,0)))=select!$E$7,1,0)</f>
        <v>1</v>
      </c>
      <c r="I620" s="46">
        <f ca="1">IF(Tabelle1[[#This Row],[Winkel]]+Tabelle1[[#This Row],[Kröpfung]]+Tabelle1[[#This Row],[Däpfung]]+Tabelle1[[#This Row],[Bohrbild]]+Tabelle1[[#This Row],[Scharnierbefestigung]]=5,1,0)</f>
        <v>0</v>
      </c>
      <c r="J620" t="str">
        <f ca="1">Sprache!$A$57</f>
        <v>TIOMOS hinge TT-Click-on</v>
      </c>
      <c r="K620" t="str">
        <f ca="1">"160°, G-BB, K03, "&amp;Sprache!A59&amp;", ni"</f>
        <v>160°, G-BB, K03, Dowel, ni</v>
      </c>
      <c r="L620" t="str">
        <f ca="1">Sprache!$A$63</f>
        <v>TIOMOS Click-on hinges</v>
      </c>
      <c r="M620">
        <v>3</v>
      </c>
      <c r="N620" t="s">
        <v>13</v>
      </c>
      <c r="O620">
        <v>160</v>
      </c>
      <c r="P620">
        <v>0</v>
      </c>
      <c r="Q620">
        <v>0</v>
      </c>
      <c r="R620">
        <v>1</v>
      </c>
      <c r="S620">
        <v>0</v>
      </c>
      <c r="T620">
        <v>1</v>
      </c>
      <c r="U620">
        <v>0</v>
      </c>
      <c r="V620" s="14" t="s">
        <v>677</v>
      </c>
    </row>
    <row r="621" spans="1:22" ht="14.25" customHeight="1" x14ac:dyDescent="0.25">
      <c r="A621" s="48" t="str">
        <f>LEFT(Tabelle1[[#This Row],[Artikel'#]],4)</f>
        <v>F046</v>
      </c>
      <c r="B621" s="46" t="str">
        <f>MID(Tabelle1[[#This Row],[Artikel'#]],5,3)</f>
        <v>138</v>
      </c>
      <c r="C621" s="48" t="str">
        <f>RIGHT(Tabelle1[[#This Row],[Artikel'#]],3)</f>
        <v>444</v>
      </c>
      <c r="D621" s="46">
        <f>IF(Tabelle1[[#This Row],[Winkel2]]=select!$A$2,1,0)</f>
        <v>0</v>
      </c>
      <c r="E62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21" s="46">
        <f>IF(select!$E$16=IF(Tabelle1[[#This Row],[mit Dämpfung]]=1,1,IF(Tabelle1[[#This Row],[ohne Dämpfung]]=1,2,IF(Tabelle1[[#This Row],[ohne Feder]]=1,3,0))),1,0)</f>
        <v>0</v>
      </c>
      <c r="G621" s="46">
        <f>IF(Tabelle1[[#This Row],[Links]]=select!$I$2,1,0)</f>
        <v>0</v>
      </c>
      <c r="H621" s="46">
        <f>IF(IF(Tabelle1[[#This Row],[Anschrauben]]=1,1,IF(Tabelle1[[#This Row],[Einpressen]]=1,2,IF(Tabelle1[[#This Row],[Werkzeuglos]]=1,3,0)))=select!$E$7,1,0)</f>
        <v>1</v>
      </c>
      <c r="I621" s="46">
        <f ca="1">IF(Tabelle1[[#This Row],[Winkel]]+Tabelle1[[#This Row],[Kröpfung]]+Tabelle1[[#This Row],[Däpfung]]+Tabelle1[[#This Row],[Bohrbild]]+Tabelle1[[#This Row],[Scharnierbefestigung]]=5,1,0)</f>
        <v>0</v>
      </c>
      <c r="J621" t="str">
        <f ca="1">Sprache!$A$57</f>
        <v>TIOMOS hinge TT-Click-on</v>
      </c>
      <c r="K621" t="str">
        <f ca="1">"160°, G-BB, K95, "&amp;Sprache!A59&amp;", ni"</f>
        <v>160°, G-BB, K95, Dowel, ni</v>
      </c>
      <c r="L621" t="str">
        <f ca="1">Sprache!$A$63</f>
        <v>TIOMOS Click-on hinges</v>
      </c>
      <c r="M621">
        <v>9.5</v>
      </c>
      <c r="N621" t="s">
        <v>13</v>
      </c>
      <c r="O621">
        <v>160</v>
      </c>
      <c r="P621">
        <v>0</v>
      </c>
      <c r="Q621">
        <v>0</v>
      </c>
      <c r="R621">
        <v>1</v>
      </c>
      <c r="S621">
        <v>0</v>
      </c>
      <c r="T621">
        <v>1</v>
      </c>
      <c r="U621">
        <v>0</v>
      </c>
      <c r="V621" s="14" t="s">
        <v>678</v>
      </c>
    </row>
    <row r="622" spans="1:22" ht="14.25" customHeight="1" x14ac:dyDescent="0.25">
      <c r="A622" s="48" t="str">
        <f>LEFT(Tabelle1[[#This Row],[Artikel'#]],4)</f>
        <v>F046</v>
      </c>
      <c r="B622" s="46" t="str">
        <f>MID(Tabelle1[[#This Row],[Artikel'#]],5,3)</f>
        <v>138</v>
      </c>
      <c r="C622" s="48" t="str">
        <f>RIGHT(Tabelle1[[#This Row],[Artikel'#]],3)</f>
        <v>445</v>
      </c>
      <c r="D622" s="46">
        <f>IF(Tabelle1[[#This Row],[Winkel2]]=select!$A$2,1,0)</f>
        <v>0</v>
      </c>
      <c r="E62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2" s="46">
        <f>IF(select!$E$16=IF(Tabelle1[[#This Row],[mit Dämpfung]]=1,1,IF(Tabelle1[[#This Row],[ohne Dämpfung]]=1,2,IF(Tabelle1[[#This Row],[ohne Feder]]=1,3,0))),1,0)</f>
        <v>0</v>
      </c>
      <c r="G622" s="46">
        <f>IF(Tabelle1[[#This Row],[Links]]=select!$I$2,1,0)</f>
        <v>0</v>
      </c>
      <c r="H622" s="46">
        <f>IF(IF(Tabelle1[[#This Row],[Anschrauben]]=1,1,IF(Tabelle1[[#This Row],[Einpressen]]=1,2,IF(Tabelle1[[#This Row],[Werkzeuglos]]=1,3,0)))=select!$E$7,1,0)</f>
        <v>0</v>
      </c>
      <c r="I622" s="46">
        <f ca="1">IF(Tabelle1[[#This Row],[Winkel]]+Tabelle1[[#This Row],[Kröpfung]]+Tabelle1[[#This Row],[Däpfung]]+Tabelle1[[#This Row],[Bohrbild]]+Tabelle1[[#This Row],[Scharnierbefestigung]]=5,1,0)</f>
        <v>0</v>
      </c>
      <c r="J622" t="str">
        <f ca="1">Sprache!$A$57</f>
        <v>TIOMOS hinge TT-Click-on</v>
      </c>
      <c r="K622" t="s">
        <v>327</v>
      </c>
      <c r="L622" t="str">
        <f ca="1">Sprache!$A$63</f>
        <v>TIOMOS Click-on hinges</v>
      </c>
      <c r="M622">
        <v>0</v>
      </c>
      <c r="N622" t="s">
        <v>13</v>
      </c>
      <c r="O622">
        <v>95</v>
      </c>
      <c r="P622">
        <v>0</v>
      </c>
      <c r="Q622">
        <v>0</v>
      </c>
      <c r="R622">
        <v>1</v>
      </c>
      <c r="S622">
        <v>1</v>
      </c>
      <c r="T622">
        <v>0</v>
      </c>
      <c r="U622">
        <v>0</v>
      </c>
      <c r="V622" s="14" t="s">
        <v>679</v>
      </c>
    </row>
    <row r="623" spans="1:22" ht="14.25" customHeight="1" x14ac:dyDescent="0.25">
      <c r="A623" s="48" t="str">
        <f>LEFT(Tabelle1[[#This Row],[Artikel'#]],4)</f>
        <v>F046</v>
      </c>
      <c r="B623" s="46" t="str">
        <f>MID(Tabelle1[[#This Row],[Artikel'#]],5,3)</f>
        <v>138</v>
      </c>
      <c r="C623" s="48" t="str">
        <f>RIGHT(Tabelle1[[#This Row],[Artikel'#]],3)</f>
        <v>446</v>
      </c>
      <c r="D623" s="46">
        <f>IF(Tabelle1[[#This Row],[Winkel2]]=select!$A$2,1,0)</f>
        <v>0</v>
      </c>
      <c r="E62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3" s="46">
        <f>IF(select!$E$16=IF(Tabelle1[[#This Row],[mit Dämpfung]]=1,1,IF(Tabelle1[[#This Row],[ohne Dämpfung]]=1,2,IF(Tabelle1[[#This Row],[ohne Feder]]=1,3,0))),1,0)</f>
        <v>0</v>
      </c>
      <c r="G623" s="46">
        <f>IF(Tabelle1[[#This Row],[Links]]=select!$I$2,1,0)</f>
        <v>0</v>
      </c>
      <c r="H623" s="46">
        <f>IF(IF(Tabelle1[[#This Row],[Anschrauben]]=1,1,IF(Tabelle1[[#This Row],[Einpressen]]=1,2,IF(Tabelle1[[#This Row],[Werkzeuglos]]=1,3,0)))=select!$E$7,1,0)</f>
        <v>0</v>
      </c>
      <c r="I623" s="46">
        <f ca="1">IF(Tabelle1[[#This Row],[Winkel]]+Tabelle1[[#This Row],[Kröpfung]]+Tabelle1[[#This Row],[Däpfung]]+Tabelle1[[#This Row],[Bohrbild]]+Tabelle1[[#This Row],[Scharnierbefestigung]]=5,1,0)</f>
        <v>0</v>
      </c>
      <c r="J623" t="str">
        <f ca="1">Sprache!$A$57</f>
        <v>TIOMOS hinge TT-Click-on</v>
      </c>
      <c r="K623" t="s">
        <v>329</v>
      </c>
      <c r="L623" t="str">
        <f ca="1">Sprache!$A$63</f>
        <v>TIOMOS Click-on hinges</v>
      </c>
      <c r="M623">
        <v>3</v>
      </c>
      <c r="N623" t="s">
        <v>13</v>
      </c>
      <c r="O623">
        <v>95</v>
      </c>
      <c r="P623">
        <v>0</v>
      </c>
      <c r="Q623">
        <v>0</v>
      </c>
      <c r="R623">
        <v>1</v>
      </c>
      <c r="S623">
        <v>1</v>
      </c>
      <c r="T623">
        <v>0</v>
      </c>
      <c r="U623">
        <v>0</v>
      </c>
      <c r="V623" s="14" t="s">
        <v>680</v>
      </c>
    </row>
    <row r="624" spans="1:22" ht="14.25" customHeight="1" x14ac:dyDescent="0.25">
      <c r="A624" s="48" t="str">
        <f>LEFT(Tabelle1[[#This Row],[Artikel'#]],4)</f>
        <v>F046</v>
      </c>
      <c r="B624" s="46" t="str">
        <f>MID(Tabelle1[[#This Row],[Artikel'#]],5,3)</f>
        <v>138</v>
      </c>
      <c r="C624" s="48" t="str">
        <f>RIGHT(Tabelle1[[#This Row],[Artikel'#]],3)</f>
        <v>447</v>
      </c>
      <c r="D624" s="46">
        <f>IF(Tabelle1[[#This Row],[Winkel2]]=select!$A$2,1,0)</f>
        <v>0</v>
      </c>
      <c r="E62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24" s="46">
        <f>IF(select!$E$16=IF(Tabelle1[[#This Row],[mit Dämpfung]]=1,1,IF(Tabelle1[[#This Row],[ohne Dämpfung]]=1,2,IF(Tabelle1[[#This Row],[ohne Feder]]=1,3,0))),1,0)</f>
        <v>0</v>
      </c>
      <c r="G624" s="46">
        <f>IF(Tabelle1[[#This Row],[Links]]=select!$I$2,1,0)</f>
        <v>0</v>
      </c>
      <c r="H624" s="46">
        <f>IF(IF(Tabelle1[[#This Row],[Anschrauben]]=1,1,IF(Tabelle1[[#This Row],[Einpressen]]=1,2,IF(Tabelle1[[#This Row],[Werkzeuglos]]=1,3,0)))=select!$E$7,1,0)</f>
        <v>0</v>
      </c>
      <c r="I624" s="46">
        <f ca="1">IF(Tabelle1[[#This Row],[Winkel]]+Tabelle1[[#This Row],[Kröpfung]]+Tabelle1[[#This Row],[Däpfung]]+Tabelle1[[#This Row],[Bohrbild]]+Tabelle1[[#This Row],[Scharnierbefestigung]]=5,1,0)</f>
        <v>0</v>
      </c>
      <c r="J624" t="str">
        <f ca="1">Sprache!$A$57</f>
        <v>TIOMOS hinge TT-Click-on</v>
      </c>
      <c r="K624" t="s">
        <v>331</v>
      </c>
      <c r="L624" t="str">
        <f ca="1">Sprache!$A$63</f>
        <v>TIOMOS Click-on hinges</v>
      </c>
      <c r="M624">
        <v>9.5</v>
      </c>
      <c r="N624" t="s">
        <v>13</v>
      </c>
      <c r="O624">
        <v>95</v>
      </c>
      <c r="P624">
        <v>0</v>
      </c>
      <c r="Q624">
        <v>0</v>
      </c>
      <c r="R624">
        <v>1</v>
      </c>
      <c r="S624">
        <v>1</v>
      </c>
      <c r="T624">
        <v>0</v>
      </c>
      <c r="U624">
        <v>0</v>
      </c>
      <c r="V624" s="14" t="s">
        <v>681</v>
      </c>
    </row>
    <row r="625" spans="1:22" ht="14.25" customHeight="1" x14ac:dyDescent="0.25">
      <c r="A625" s="48" t="str">
        <f>LEFT(Tabelle1[[#This Row],[Artikel'#]],4)</f>
        <v>F046</v>
      </c>
      <c r="B625" s="46" t="str">
        <f>MID(Tabelle1[[#This Row],[Artikel'#]],5,3)</f>
        <v>138</v>
      </c>
      <c r="C625" s="48" t="str">
        <f>RIGHT(Tabelle1[[#This Row],[Artikel'#]],3)</f>
        <v>448</v>
      </c>
      <c r="D625" s="46">
        <f>IF(Tabelle1[[#This Row],[Winkel2]]=select!$A$2,1,0)</f>
        <v>0</v>
      </c>
      <c r="E62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5" s="46">
        <f>IF(select!$E$16=IF(Tabelle1[[#This Row],[mit Dämpfung]]=1,1,IF(Tabelle1[[#This Row],[ohne Dämpfung]]=1,2,IF(Tabelle1[[#This Row],[ohne Feder]]=1,3,0))),1,0)</f>
        <v>0</v>
      </c>
      <c r="G625" s="46">
        <f>IF(Tabelle1[[#This Row],[Links]]=select!$I$2,1,0)</f>
        <v>0</v>
      </c>
      <c r="H625" s="46">
        <f>IF(IF(Tabelle1[[#This Row],[Anschrauben]]=1,1,IF(Tabelle1[[#This Row],[Einpressen]]=1,2,IF(Tabelle1[[#This Row],[Werkzeuglos]]=1,3,0)))=select!$E$7,1,0)</f>
        <v>0</v>
      </c>
      <c r="I625" s="46">
        <f ca="1">IF(Tabelle1[[#This Row],[Winkel]]+Tabelle1[[#This Row],[Kröpfung]]+Tabelle1[[#This Row],[Däpfung]]+Tabelle1[[#This Row],[Bohrbild]]+Tabelle1[[#This Row],[Scharnierbefestigung]]=5,1,0)</f>
        <v>0</v>
      </c>
      <c r="J625" t="str">
        <f ca="1">Sprache!$A$57</f>
        <v>TIOMOS hinge TT-Click-on</v>
      </c>
      <c r="K625" t="s">
        <v>333</v>
      </c>
      <c r="L625" t="str">
        <f ca="1">Sprache!$A$63</f>
        <v>TIOMOS Click-on hinges</v>
      </c>
      <c r="M625">
        <v>19</v>
      </c>
      <c r="N625" t="s">
        <v>13</v>
      </c>
      <c r="O625">
        <v>95</v>
      </c>
      <c r="P625">
        <v>0</v>
      </c>
      <c r="Q625">
        <v>0</v>
      </c>
      <c r="R625">
        <v>1</v>
      </c>
      <c r="S625">
        <v>1</v>
      </c>
      <c r="T625">
        <v>0</v>
      </c>
      <c r="U625">
        <v>0</v>
      </c>
      <c r="V625" s="14" t="s">
        <v>682</v>
      </c>
    </row>
    <row r="626" spans="1:22" ht="14.25" customHeight="1" x14ac:dyDescent="0.25">
      <c r="A626" s="48" t="str">
        <f>LEFT(Tabelle1[[#This Row],[Artikel'#]],4)</f>
        <v>F046</v>
      </c>
      <c r="B626" s="46" t="str">
        <f>MID(Tabelle1[[#This Row],[Artikel'#]],5,3)</f>
        <v>138</v>
      </c>
      <c r="C626" s="48" t="str">
        <f>RIGHT(Tabelle1[[#This Row],[Artikel'#]],3)</f>
        <v>449</v>
      </c>
      <c r="D626" s="46">
        <f>IF(Tabelle1[[#This Row],[Winkel2]]=select!$A$2,1,0)</f>
        <v>0</v>
      </c>
      <c r="E62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6" s="46">
        <f>IF(select!$E$16=IF(Tabelle1[[#This Row],[mit Dämpfung]]=1,1,IF(Tabelle1[[#This Row],[ohne Dämpfung]]=1,2,IF(Tabelle1[[#This Row],[ohne Feder]]=1,3,0))),1,0)</f>
        <v>0</v>
      </c>
      <c r="G626" s="46">
        <f>IF(Tabelle1[[#This Row],[Links]]=select!$I$2,1,0)</f>
        <v>0</v>
      </c>
      <c r="H626" s="46">
        <f>IF(IF(Tabelle1[[#This Row],[Anschrauben]]=1,1,IF(Tabelle1[[#This Row],[Einpressen]]=1,2,IF(Tabelle1[[#This Row],[Werkzeuglos]]=1,3,0)))=select!$E$7,1,0)</f>
        <v>1</v>
      </c>
      <c r="I626" s="46">
        <f ca="1">IF(Tabelle1[[#This Row],[Winkel]]+Tabelle1[[#This Row],[Kröpfung]]+Tabelle1[[#This Row],[Däpfung]]+Tabelle1[[#This Row],[Bohrbild]]+Tabelle1[[#This Row],[Scharnierbefestigung]]=5,1,0)</f>
        <v>0</v>
      </c>
      <c r="J626" t="str">
        <f ca="1">Sprache!$A$57</f>
        <v>TIOMOS hinge TT-Click-on</v>
      </c>
      <c r="K626" t="str">
        <f ca="1">"95°, G-BB, K00, "&amp;Sprache!A59&amp;", ni"</f>
        <v>95°, G-BB, K00, Dowel, ni</v>
      </c>
      <c r="L626" t="str">
        <f ca="1">Sprache!$A$63</f>
        <v>TIOMOS Click-on hinges</v>
      </c>
      <c r="M626">
        <v>0</v>
      </c>
      <c r="N626" t="s">
        <v>13</v>
      </c>
      <c r="O626">
        <v>95</v>
      </c>
      <c r="P626">
        <v>0</v>
      </c>
      <c r="Q626">
        <v>0</v>
      </c>
      <c r="R626">
        <v>1</v>
      </c>
      <c r="S626">
        <v>0</v>
      </c>
      <c r="T626">
        <v>1</v>
      </c>
      <c r="U626">
        <v>0</v>
      </c>
      <c r="V626" s="14" t="s">
        <v>683</v>
      </c>
    </row>
    <row r="627" spans="1:22" ht="14.25" customHeight="1" x14ac:dyDescent="0.25">
      <c r="A627" s="48" t="str">
        <f>LEFT(Tabelle1[[#This Row],[Artikel'#]],4)</f>
        <v>F046</v>
      </c>
      <c r="B627" s="46" t="str">
        <f>MID(Tabelle1[[#This Row],[Artikel'#]],5,3)</f>
        <v>138</v>
      </c>
      <c r="C627" s="48" t="str">
        <f>RIGHT(Tabelle1[[#This Row],[Artikel'#]],3)</f>
        <v>450</v>
      </c>
      <c r="D627" s="46">
        <f>IF(Tabelle1[[#This Row],[Winkel2]]=select!$A$2,1,0)</f>
        <v>0</v>
      </c>
      <c r="E62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7" s="46">
        <f>IF(select!$E$16=IF(Tabelle1[[#This Row],[mit Dämpfung]]=1,1,IF(Tabelle1[[#This Row],[ohne Dämpfung]]=1,2,IF(Tabelle1[[#This Row],[ohne Feder]]=1,3,0))),1,0)</f>
        <v>0</v>
      </c>
      <c r="G627" s="46">
        <f>IF(Tabelle1[[#This Row],[Links]]=select!$I$2,1,0)</f>
        <v>0</v>
      </c>
      <c r="H627" s="46">
        <f>IF(IF(Tabelle1[[#This Row],[Anschrauben]]=1,1,IF(Tabelle1[[#This Row],[Einpressen]]=1,2,IF(Tabelle1[[#This Row],[Werkzeuglos]]=1,3,0)))=select!$E$7,1,0)</f>
        <v>1</v>
      </c>
      <c r="I627" s="46">
        <f ca="1">IF(Tabelle1[[#This Row],[Winkel]]+Tabelle1[[#This Row],[Kröpfung]]+Tabelle1[[#This Row],[Däpfung]]+Tabelle1[[#This Row],[Bohrbild]]+Tabelle1[[#This Row],[Scharnierbefestigung]]=5,1,0)</f>
        <v>0</v>
      </c>
      <c r="J627" t="str">
        <f ca="1">Sprache!$A$57</f>
        <v>TIOMOS hinge TT-Click-on</v>
      </c>
      <c r="K627" t="str">
        <f ca="1">"95°, G-BB, K03, "&amp;Sprache!A59&amp;", ni"</f>
        <v>95°, G-BB, K03, Dowel, ni</v>
      </c>
      <c r="L627" t="str">
        <f ca="1">Sprache!$A$63</f>
        <v>TIOMOS Click-on hinges</v>
      </c>
      <c r="M627">
        <v>3</v>
      </c>
      <c r="N627" t="s">
        <v>13</v>
      </c>
      <c r="O627">
        <v>95</v>
      </c>
      <c r="P627">
        <v>0</v>
      </c>
      <c r="Q627">
        <v>0</v>
      </c>
      <c r="R627">
        <v>1</v>
      </c>
      <c r="S627">
        <v>0</v>
      </c>
      <c r="T627">
        <v>1</v>
      </c>
      <c r="U627">
        <v>0</v>
      </c>
      <c r="V627" s="14" t="s">
        <v>684</v>
      </c>
    </row>
    <row r="628" spans="1:22" ht="14.25" customHeight="1" x14ac:dyDescent="0.25">
      <c r="A628" s="48" t="str">
        <f>LEFT(Tabelle1[[#This Row],[Artikel'#]],4)</f>
        <v>F046</v>
      </c>
      <c r="B628" s="46" t="str">
        <f>MID(Tabelle1[[#This Row],[Artikel'#]],5,3)</f>
        <v>138</v>
      </c>
      <c r="C628" s="48" t="str">
        <f>RIGHT(Tabelle1[[#This Row],[Artikel'#]],3)</f>
        <v>451</v>
      </c>
      <c r="D628" s="46">
        <f>IF(Tabelle1[[#This Row],[Winkel2]]=select!$A$2,1,0)</f>
        <v>0</v>
      </c>
      <c r="E62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28" s="46">
        <f>IF(select!$E$16=IF(Tabelle1[[#This Row],[mit Dämpfung]]=1,1,IF(Tabelle1[[#This Row],[ohne Dämpfung]]=1,2,IF(Tabelle1[[#This Row],[ohne Feder]]=1,3,0))),1,0)</f>
        <v>0</v>
      </c>
      <c r="G628" s="46">
        <f>IF(Tabelle1[[#This Row],[Links]]=select!$I$2,1,0)</f>
        <v>0</v>
      </c>
      <c r="H628" s="46">
        <f>IF(IF(Tabelle1[[#This Row],[Anschrauben]]=1,1,IF(Tabelle1[[#This Row],[Einpressen]]=1,2,IF(Tabelle1[[#This Row],[Werkzeuglos]]=1,3,0)))=select!$E$7,1,0)</f>
        <v>1</v>
      </c>
      <c r="I628" s="46">
        <f ca="1">IF(Tabelle1[[#This Row],[Winkel]]+Tabelle1[[#This Row],[Kröpfung]]+Tabelle1[[#This Row],[Däpfung]]+Tabelle1[[#This Row],[Bohrbild]]+Tabelle1[[#This Row],[Scharnierbefestigung]]=5,1,0)</f>
        <v>0</v>
      </c>
      <c r="J628" t="str">
        <f ca="1">Sprache!$A$57</f>
        <v>TIOMOS hinge TT-Click-on</v>
      </c>
      <c r="K628" t="str">
        <f ca="1">"95°, G-BB, K95, "&amp;Sprache!A59&amp;", ni"</f>
        <v>95°, G-BB, K95, Dowel, ni</v>
      </c>
      <c r="L628" t="str">
        <f ca="1">Sprache!$A$63</f>
        <v>TIOMOS Click-on hinges</v>
      </c>
      <c r="M628">
        <v>9.5</v>
      </c>
      <c r="N628" t="s">
        <v>13</v>
      </c>
      <c r="O628">
        <v>95</v>
      </c>
      <c r="P628">
        <v>0</v>
      </c>
      <c r="Q628">
        <v>0</v>
      </c>
      <c r="R628">
        <v>1</v>
      </c>
      <c r="S628">
        <v>0</v>
      </c>
      <c r="T628">
        <v>1</v>
      </c>
      <c r="U628">
        <v>0</v>
      </c>
      <c r="V628" s="14" t="s">
        <v>685</v>
      </c>
    </row>
    <row r="629" spans="1:22" ht="14.25" customHeight="1" x14ac:dyDescent="0.25">
      <c r="A629" s="48" t="str">
        <f>LEFT(Tabelle1[[#This Row],[Artikel'#]],4)</f>
        <v>F046</v>
      </c>
      <c r="B629" s="46" t="str">
        <f>MID(Tabelle1[[#This Row],[Artikel'#]],5,3)</f>
        <v>138</v>
      </c>
      <c r="C629" s="48" t="str">
        <f>RIGHT(Tabelle1[[#This Row],[Artikel'#]],3)</f>
        <v>452</v>
      </c>
      <c r="D629" s="46">
        <f>IF(Tabelle1[[#This Row],[Winkel2]]=select!$A$2,1,0)</f>
        <v>0</v>
      </c>
      <c r="E62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29" s="46">
        <f>IF(select!$E$16=IF(Tabelle1[[#This Row],[mit Dämpfung]]=1,1,IF(Tabelle1[[#This Row],[ohne Dämpfung]]=1,2,IF(Tabelle1[[#This Row],[ohne Feder]]=1,3,0))),1,0)</f>
        <v>0</v>
      </c>
      <c r="G629" s="46">
        <f>IF(Tabelle1[[#This Row],[Links]]=select!$I$2,1,0)</f>
        <v>0</v>
      </c>
      <c r="H629" s="46">
        <f>IF(IF(Tabelle1[[#This Row],[Anschrauben]]=1,1,IF(Tabelle1[[#This Row],[Einpressen]]=1,2,IF(Tabelle1[[#This Row],[Werkzeuglos]]=1,3,0)))=select!$E$7,1,0)</f>
        <v>1</v>
      </c>
      <c r="I629" s="46">
        <f ca="1">IF(Tabelle1[[#This Row],[Winkel]]+Tabelle1[[#This Row],[Kröpfung]]+Tabelle1[[#This Row],[Däpfung]]+Tabelle1[[#This Row],[Bohrbild]]+Tabelle1[[#This Row],[Scharnierbefestigung]]=5,1,0)</f>
        <v>0</v>
      </c>
      <c r="J629" t="str">
        <f ca="1">Sprache!$A$57</f>
        <v>TIOMOS hinge TT-Click-on</v>
      </c>
      <c r="K629" t="str">
        <f ca="1">"95°, G-BB, K19, "&amp;Sprache!A59&amp;", ni"</f>
        <v>95°, G-BB, K19, Dowel, ni</v>
      </c>
      <c r="L629" t="str">
        <f ca="1">Sprache!$A$63</f>
        <v>TIOMOS Click-on hinges</v>
      </c>
      <c r="M629">
        <v>19</v>
      </c>
      <c r="N629" t="s">
        <v>13</v>
      </c>
      <c r="O629">
        <v>95</v>
      </c>
      <c r="P629">
        <v>0</v>
      </c>
      <c r="Q629">
        <v>0</v>
      </c>
      <c r="R629">
        <v>1</v>
      </c>
      <c r="S629">
        <v>0</v>
      </c>
      <c r="T629">
        <v>1</v>
      </c>
      <c r="U629">
        <v>0</v>
      </c>
      <c r="V629" s="14" t="s">
        <v>686</v>
      </c>
    </row>
    <row r="630" spans="1:22" ht="14.25" customHeight="1" x14ac:dyDescent="0.25">
      <c r="A630" s="48" t="str">
        <f>LEFT(Tabelle1[[#This Row],[Artikel'#]],4)</f>
        <v>F046</v>
      </c>
      <c r="B630" s="46" t="str">
        <f>MID(Tabelle1[[#This Row],[Artikel'#]],5,3)</f>
        <v>138</v>
      </c>
      <c r="C630" s="48" t="str">
        <f>RIGHT(Tabelle1[[#This Row],[Artikel'#]],3)</f>
        <v>579</v>
      </c>
      <c r="D630" s="46">
        <f>IF(Tabelle1[[#This Row],[Winkel2]]=select!$A$2,1,0)</f>
        <v>1</v>
      </c>
      <c r="E63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0" s="46">
        <f>IF(select!$E$16=IF(Tabelle1[[#This Row],[mit Dämpfung]]=1,1,IF(Tabelle1[[#This Row],[ohne Dämpfung]]=1,2,IF(Tabelle1[[#This Row],[ohne Feder]]=1,3,0))),1,0)</f>
        <v>0</v>
      </c>
      <c r="G630" s="46">
        <f>IF(Tabelle1[[#This Row],[Links]]=select!$I$2,1,0)</f>
        <v>1</v>
      </c>
      <c r="H630" s="46">
        <f>IF(IF(Tabelle1[[#This Row],[Anschrauben]]=1,1,IF(Tabelle1[[#This Row],[Einpressen]]=1,2,IF(Tabelle1[[#This Row],[Werkzeuglos]]=1,3,0)))=select!$E$7,1,0)</f>
        <v>0</v>
      </c>
      <c r="I630" s="46">
        <f ca="1">IF(Tabelle1[[#This Row],[Winkel]]+Tabelle1[[#This Row],[Kröpfung]]+Tabelle1[[#This Row],[Däpfung]]+Tabelle1[[#This Row],[Bohrbild]]+Tabelle1[[#This Row],[Scharnierbefestigung]]=5,1,0)</f>
        <v>0</v>
      </c>
      <c r="J630" t="str">
        <f ca="1">Sprache!$A$57</f>
        <v>TIOMOS hinge TT-Click-on</v>
      </c>
      <c r="K630" t="s">
        <v>338</v>
      </c>
      <c r="L630" t="str">
        <f ca="1">Sprache!$A$63</f>
        <v>TIOMOS Click-on hinges</v>
      </c>
      <c r="M630">
        <v>0</v>
      </c>
      <c r="N630" t="s">
        <v>3</v>
      </c>
      <c r="O630">
        <v>110</v>
      </c>
      <c r="P630">
        <v>0</v>
      </c>
      <c r="Q630">
        <v>0</v>
      </c>
      <c r="R630">
        <v>1</v>
      </c>
      <c r="S630">
        <v>1</v>
      </c>
      <c r="T630">
        <v>0</v>
      </c>
      <c r="U630">
        <v>0</v>
      </c>
      <c r="V630" s="14" t="s">
        <v>48</v>
      </c>
    </row>
    <row r="631" spans="1:22" ht="14.25" customHeight="1" x14ac:dyDescent="0.25">
      <c r="A631" s="48" t="str">
        <f>LEFT(Tabelle1[[#This Row],[Artikel'#]],4)</f>
        <v>F046</v>
      </c>
      <c r="B631" s="46" t="str">
        <f>MID(Tabelle1[[#This Row],[Artikel'#]],5,3)</f>
        <v>138</v>
      </c>
      <c r="C631" s="48" t="str">
        <f>RIGHT(Tabelle1[[#This Row],[Artikel'#]],3)</f>
        <v>580</v>
      </c>
      <c r="D631" s="46">
        <f>IF(Tabelle1[[#This Row],[Winkel2]]=select!$A$2,1,0)</f>
        <v>1</v>
      </c>
      <c r="E63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1" s="46">
        <f>IF(select!$E$16=IF(Tabelle1[[#This Row],[mit Dämpfung]]=1,1,IF(Tabelle1[[#This Row],[ohne Dämpfung]]=1,2,IF(Tabelle1[[#This Row],[ohne Feder]]=1,3,0))),1,0)</f>
        <v>0</v>
      </c>
      <c r="G631" s="46">
        <f>IF(Tabelle1[[#This Row],[Links]]=select!$I$2,1,0)</f>
        <v>1</v>
      </c>
      <c r="H631" s="46">
        <f>IF(IF(Tabelle1[[#This Row],[Anschrauben]]=1,1,IF(Tabelle1[[#This Row],[Einpressen]]=1,2,IF(Tabelle1[[#This Row],[Werkzeuglos]]=1,3,0)))=select!$E$7,1,0)</f>
        <v>0</v>
      </c>
      <c r="I631" s="46">
        <f ca="1">IF(Tabelle1[[#This Row],[Winkel]]+Tabelle1[[#This Row],[Kröpfung]]+Tabelle1[[#This Row],[Däpfung]]+Tabelle1[[#This Row],[Bohrbild]]+Tabelle1[[#This Row],[Scharnierbefestigung]]=5,1,0)</f>
        <v>0</v>
      </c>
      <c r="J631" t="str">
        <f ca="1">Sprache!$A$57</f>
        <v>TIOMOS hinge TT-Click-on</v>
      </c>
      <c r="K631" t="s">
        <v>340</v>
      </c>
      <c r="L631" t="str">
        <f ca="1">Sprache!$A$63</f>
        <v>TIOMOS Click-on hinges</v>
      </c>
      <c r="M631">
        <v>3</v>
      </c>
      <c r="N631" t="s">
        <v>3</v>
      </c>
      <c r="O631">
        <v>110</v>
      </c>
      <c r="P631">
        <v>0</v>
      </c>
      <c r="Q631">
        <v>0</v>
      </c>
      <c r="R631">
        <v>1</v>
      </c>
      <c r="S631">
        <v>1</v>
      </c>
      <c r="T631">
        <v>0</v>
      </c>
      <c r="U631">
        <v>0</v>
      </c>
      <c r="V631" s="14" t="s">
        <v>687</v>
      </c>
    </row>
    <row r="632" spans="1:22" ht="14.25" customHeight="1" x14ac:dyDescent="0.25">
      <c r="A632" s="48" t="str">
        <f>LEFT(Tabelle1[[#This Row],[Artikel'#]],4)</f>
        <v>F046</v>
      </c>
      <c r="B632" s="46" t="str">
        <f>MID(Tabelle1[[#This Row],[Artikel'#]],5,3)</f>
        <v>138</v>
      </c>
      <c r="C632" s="48" t="str">
        <f>RIGHT(Tabelle1[[#This Row],[Artikel'#]],3)</f>
        <v>581</v>
      </c>
      <c r="D632" s="46">
        <f>IF(Tabelle1[[#This Row],[Winkel2]]=select!$A$2,1,0)</f>
        <v>1</v>
      </c>
      <c r="E63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32" s="46">
        <f>IF(select!$E$16=IF(Tabelle1[[#This Row],[mit Dämpfung]]=1,1,IF(Tabelle1[[#This Row],[ohne Dämpfung]]=1,2,IF(Tabelle1[[#This Row],[ohne Feder]]=1,3,0))),1,0)</f>
        <v>0</v>
      </c>
      <c r="G632" s="46">
        <f>IF(Tabelle1[[#This Row],[Links]]=select!$I$2,1,0)</f>
        <v>1</v>
      </c>
      <c r="H632" s="46">
        <f>IF(IF(Tabelle1[[#This Row],[Anschrauben]]=1,1,IF(Tabelle1[[#This Row],[Einpressen]]=1,2,IF(Tabelle1[[#This Row],[Werkzeuglos]]=1,3,0)))=select!$E$7,1,0)</f>
        <v>0</v>
      </c>
      <c r="I632" s="46">
        <f ca="1">IF(Tabelle1[[#This Row],[Winkel]]+Tabelle1[[#This Row],[Kröpfung]]+Tabelle1[[#This Row],[Däpfung]]+Tabelle1[[#This Row],[Bohrbild]]+Tabelle1[[#This Row],[Scharnierbefestigung]]=5,1,0)</f>
        <v>0</v>
      </c>
      <c r="J632" t="str">
        <f ca="1">Sprache!$A$57</f>
        <v>TIOMOS hinge TT-Click-on</v>
      </c>
      <c r="K632" t="s">
        <v>342</v>
      </c>
      <c r="L632" t="str">
        <f ca="1">Sprache!$A$63</f>
        <v>TIOMOS Click-on hinges</v>
      </c>
      <c r="M632">
        <v>9.5</v>
      </c>
      <c r="N632" t="s">
        <v>3</v>
      </c>
      <c r="O632">
        <v>110</v>
      </c>
      <c r="P632">
        <v>0</v>
      </c>
      <c r="Q632">
        <v>0</v>
      </c>
      <c r="R632">
        <v>1</v>
      </c>
      <c r="S632">
        <v>1</v>
      </c>
      <c r="T632">
        <v>0</v>
      </c>
      <c r="U632">
        <v>0</v>
      </c>
      <c r="V632" s="14" t="s">
        <v>688</v>
      </c>
    </row>
    <row r="633" spans="1:22" ht="14.25" customHeight="1" x14ac:dyDescent="0.25">
      <c r="A633" s="48" t="str">
        <f>LEFT(Tabelle1[[#This Row],[Artikel'#]],4)</f>
        <v>F046</v>
      </c>
      <c r="B633" s="46" t="str">
        <f>MID(Tabelle1[[#This Row],[Artikel'#]],5,3)</f>
        <v>138</v>
      </c>
      <c r="C633" s="48" t="str">
        <f>RIGHT(Tabelle1[[#This Row],[Artikel'#]],3)</f>
        <v>582</v>
      </c>
      <c r="D633" s="46">
        <f>IF(Tabelle1[[#This Row],[Winkel2]]=select!$A$2,1,0)</f>
        <v>1</v>
      </c>
      <c r="E63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3" s="46">
        <f>IF(select!$E$16=IF(Tabelle1[[#This Row],[mit Dämpfung]]=1,1,IF(Tabelle1[[#This Row],[ohne Dämpfung]]=1,2,IF(Tabelle1[[#This Row],[ohne Feder]]=1,3,0))),1,0)</f>
        <v>0</v>
      </c>
      <c r="G633" s="46">
        <f>IF(Tabelle1[[#This Row],[Links]]=select!$I$2,1,0)</f>
        <v>1</v>
      </c>
      <c r="H633" s="46">
        <f>IF(IF(Tabelle1[[#This Row],[Anschrauben]]=1,1,IF(Tabelle1[[#This Row],[Einpressen]]=1,2,IF(Tabelle1[[#This Row],[Werkzeuglos]]=1,3,0)))=select!$E$7,1,0)</f>
        <v>0</v>
      </c>
      <c r="I633" s="46">
        <f ca="1">IF(Tabelle1[[#This Row],[Winkel]]+Tabelle1[[#This Row],[Kröpfung]]+Tabelle1[[#This Row],[Däpfung]]+Tabelle1[[#This Row],[Bohrbild]]+Tabelle1[[#This Row],[Scharnierbefestigung]]=5,1,0)</f>
        <v>0</v>
      </c>
      <c r="J633" t="str">
        <f ca="1">Sprache!$A$57</f>
        <v>TIOMOS hinge TT-Click-on</v>
      </c>
      <c r="K633" t="s">
        <v>344</v>
      </c>
      <c r="L633" t="str">
        <f ca="1">Sprache!$A$63</f>
        <v>TIOMOS Click-on hinges</v>
      </c>
      <c r="M633">
        <v>19</v>
      </c>
      <c r="N633" t="s">
        <v>3</v>
      </c>
      <c r="O633">
        <v>110</v>
      </c>
      <c r="P633">
        <v>0</v>
      </c>
      <c r="Q633">
        <v>0</v>
      </c>
      <c r="R633">
        <v>1</v>
      </c>
      <c r="S633">
        <v>1</v>
      </c>
      <c r="T633">
        <v>0</v>
      </c>
      <c r="U633">
        <v>0</v>
      </c>
      <c r="V633" s="14" t="s">
        <v>689</v>
      </c>
    </row>
    <row r="634" spans="1:22" ht="14.25" customHeight="1" x14ac:dyDescent="0.25">
      <c r="A634" s="48" t="str">
        <f>LEFT(Tabelle1[[#This Row],[Artikel'#]],4)</f>
        <v>F046</v>
      </c>
      <c r="B634" s="46" t="str">
        <f>MID(Tabelle1[[#This Row],[Artikel'#]],5,3)</f>
        <v>138</v>
      </c>
      <c r="C634" s="48" t="str">
        <f>RIGHT(Tabelle1[[#This Row],[Artikel'#]],3)</f>
        <v>583</v>
      </c>
      <c r="D634" s="46">
        <f>IF(Tabelle1[[#This Row],[Winkel2]]=select!$A$2,1,0)</f>
        <v>1</v>
      </c>
      <c r="E63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4" s="46">
        <f>IF(select!$E$16=IF(Tabelle1[[#This Row],[mit Dämpfung]]=1,1,IF(Tabelle1[[#This Row],[ohne Dämpfung]]=1,2,IF(Tabelle1[[#This Row],[ohne Feder]]=1,3,0))),1,0)</f>
        <v>0</v>
      </c>
      <c r="G634" s="46">
        <f>IF(Tabelle1[[#This Row],[Links]]=select!$I$2,1,0)</f>
        <v>1</v>
      </c>
      <c r="H634" s="46">
        <f>IF(IF(Tabelle1[[#This Row],[Anschrauben]]=1,1,IF(Tabelle1[[#This Row],[Einpressen]]=1,2,IF(Tabelle1[[#This Row],[Werkzeuglos]]=1,3,0)))=select!$E$7,1,0)</f>
        <v>1</v>
      </c>
      <c r="I634" s="46">
        <f ca="1">IF(Tabelle1[[#This Row],[Winkel]]+Tabelle1[[#This Row],[Kröpfung]]+Tabelle1[[#This Row],[Däpfung]]+Tabelle1[[#This Row],[Bohrbild]]+Tabelle1[[#This Row],[Scharnierbefestigung]]=5,1,0)</f>
        <v>0</v>
      </c>
      <c r="J634" t="str">
        <f ca="1">Sprache!$A$57</f>
        <v>TIOMOS hinge TT-Click-on</v>
      </c>
      <c r="K634" t="str">
        <f ca="1">"110°, B-BB, K00, "&amp;Sprache!A59&amp;", ni"</f>
        <v>110°, B-BB, K00, Dowel, ni</v>
      </c>
      <c r="L634" t="str">
        <f ca="1">Sprache!$A$63</f>
        <v>TIOMOS Click-on hinges</v>
      </c>
      <c r="M634">
        <v>0</v>
      </c>
      <c r="N634" t="s">
        <v>3</v>
      </c>
      <c r="O634">
        <v>110</v>
      </c>
      <c r="P634">
        <v>0</v>
      </c>
      <c r="Q634">
        <v>0</v>
      </c>
      <c r="R634">
        <v>1</v>
      </c>
      <c r="S634">
        <v>0</v>
      </c>
      <c r="T634">
        <v>1</v>
      </c>
      <c r="U634">
        <v>0</v>
      </c>
      <c r="V634" s="14" t="s">
        <v>690</v>
      </c>
    </row>
    <row r="635" spans="1:22" ht="14.25" customHeight="1" x14ac:dyDescent="0.25">
      <c r="A635" s="48" t="str">
        <f>LEFT(Tabelle1[[#This Row],[Artikel'#]],4)</f>
        <v>F046</v>
      </c>
      <c r="B635" s="46" t="str">
        <f>MID(Tabelle1[[#This Row],[Artikel'#]],5,3)</f>
        <v>138</v>
      </c>
      <c r="C635" s="48" t="str">
        <f>RIGHT(Tabelle1[[#This Row],[Artikel'#]],3)</f>
        <v>584</v>
      </c>
      <c r="D635" s="46">
        <f>IF(Tabelle1[[#This Row],[Winkel2]]=select!$A$2,1,0)</f>
        <v>1</v>
      </c>
      <c r="E63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5" s="46">
        <f>IF(select!$E$16=IF(Tabelle1[[#This Row],[mit Dämpfung]]=1,1,IF(Tabelle1[[#This Row],[ohne Dämpfung]]=1,2,IF(Tabelle1[[#This Row],[ohne Feder]]=1,3,0))),1,0)</f>
        <v>0</v>
      </c>
      <c r="G635" s="46">
        <f>IF(Tabelle1[[#This Row],[Links]]=select!$I$2,1,0)</f>
        <v>1</v>
      </c>
      <c r="H635" s="46">
        <f>IF(IF(Tabelle1[[#This Row],[Anschrauben]]=1,1,IF(Tabelle1[[#This Row],[Einpressen]]=1,2,IF(Tabelle1[[#This Row],[Werkzeuglos]]=1,3,0)))=select!$E$7,1,0)</f>
        <v>1</v>
      </c>
      <c r="I635" s="46">
        <f ca="1">IF(Tabelle1[[#This Row],[Winkel]]+Tabelle1[[#This Row],[Kröpfung]]+Tabelle1[[#This Row],[Däpfung]]+Tabelle1[[#This Row],[Bohrbild]]+Tabelle1[[#This Row],[Scharnierbefestigung]]=5,1,0)</f>
        <v>0</v>
      </c>
      <c r="J635" t="str">
        <f ca="1">Sprache!$A$57</f>
        <v>TIOMOS hinge TT-Click-on</v>
      </c>
      <c r="K635" t="str">
        <f ca="1">"110°, B-BB, K03, "&amp;Sprache!A59&amp;", ni"</f>
        <v>110°, B-BB, K03, Dowel, ni</v>
      </c>
      <c r="L635" t="str">
        <f ca="1">Sprache!$A$63</f>
        <v>TIOMOS Click-on hinges</v>
      </c>
      <c r="M635">
        <v>3</v>
      </c>
      <c r="N635" t="s">
        <v>3</v>
      </c>
      <c r="O635">
        <v>110</v>
      </c>
      <c r="P635">
        <v>0</v>
      </c>
      <c r="Q635">
        <v>0</v>
      </c>
      <c r="R635">
        <v>1</v>
      </c>
      <c r="S635">
        <v>0</v>
      </c>
      <c r="T635">
        <v>1</v>
      </c>
      <c r="U635">
        <v>0</v>
      </c>
      <c r="V635" s="14" t="s">
        <v>691</v>
      </c>
    </row>
    <row r="636" spans="1:22" ht="14.25" customHeight="1" x14ac:dyDescent="0.25">
      <c r="A636" s="48" t="str">
        <f>LEFT(Tabelle1[[#This Row],[Artikel'#]],4)</f>
        <v>F046</v>
      </c>
      <c r="B636" s="46" t="str">
        <f>MID(Tabelle1[[#This Row],[Artikel'#]],5,3)</f>
        <v>138</v>
      </c>
      <c r="C636" s="48" t="str">
        <f>RIGHT(Tabelle1[[#This Row],[Artikel'#]],3)</f>
        <v>585</v>
      </c>
      <c r="D636" s="46">
        <f>IF(Tabelle1[[#This Row],[Winkel2]]=select!$A$2,1,0)</f>
        <v>1</v>
      </c>
      <c r="E63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36" s="46">
        <f>IF(select!$E$16=IF(Tabelle1[[#This Row],[mit Dämpfung]]=1,1,IF(Tabelle1[[#This Row],[ohne Dämpfung]]=1,2,IF(Tabelle1[[#This Row],[ohne Feder]]=1,3,0))),1,0)</f>
        <v>0</v>
      </c>
      <c r="G636" s="46">
        <f>IF(Tabelle1[[#This Row],[Links]]=select!$I$2,1,0)</f>
        <v>1</v>
      </c>
      <c r="H636" s="46">
        <f>IF(IF(Tabelle1[[#This Row],[Anschrauben]]=1,1,IF(Tabelle1[[#This Row],[Einpressen]]=1,2,IF(Tabelle1[[#This Row],[Werkzeuglos]]=1,3,0)))=select!$E$7,1,0)</f>
        <v>1</v>
      </c>
      <c r="I636" s="46">
        <f ca="1">IF(Tabelle1[[#This Row],[Winkel]]+Tabelle1[[#This Row],[Kröpfung]]+Tabelle1[[#This Row],[Däpfung]]+Tabelle1[[#This Row],[Bohrbild]]+Tabelle1[[#This Row],[Scharnierbefestigung]]=5,1,0)</f>
        <v>0</v>
      </c>
      <c r="J636" t="str">
        <f ca="1">Sprache!$A$57</f>
        <v>TIOMOS hinge TT-Click-on</v>
      </c>
      <c r="K636" t="str">
        <f ca="1">"110°, B-BB, K95, "&amp;Sprache!A59&amp;", ni"</f>
        <v>110°, B-BB, K95, Dowel, ni</v>
      </c>
      <c r="L636" t="str">
        <f ca="1">Sprache!$A$63</f>
        <v>TIOMOS Click-on hinges</v>
      </c>
      <c r="M636">
        <v>9.5</v>
      </c>
      <c r="N636" t="s">
        <v>3</v>
      </c>
      <c r="O636">
        <v>110</v>
      </c>
      <c r="P636">
        <v>0</v>
      </c>
      <c r="Q636">
        <v>0</v>
      </c>
      <c r="R636">
        <v>1</v>
      </c>
      <c r="S636">
        <v>0</v>
      </c>
      <c r="T636">
        <v>1</v>
      </c>
      <c r="U636">
        <v>0</v>
      </c>
      <c r="V636" s="14" t="s">
        <v>692</v>
      </c>
    </row>
    <row r="637" spans="1:22" ht="14.25" customHeight="1" x14ac:dyDescent="0.25">
      <c r="A637" s="48" t="str">
        <f>LEFT(Tabelle1[[#This Row],[Artikel'#]],4)</f>
        <v>F046</v>
      </c>
      <c r="B637" s="46" t="str">
        <f>MID(Tabelle1[[#This Row],[Artikel'#]],5,3)</f>
        <v>138</v>
      </c>
      <c r="C637" s="48" t="str">
        <f>RIGHT(Tabelle1[[#This Row],[Artikel'#]],3)</f>
        <v>586</v>
      </c>
      <c r="D637" s="46">
        <f>IF(Tabelle1[[#This Row],[Winkel2]]=select!$A$2,1,0)</f>
        <v>1</v>
      </c>
      <c r="E63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7" s="46">
        <f>IF(select!$E$16=IF(Tabelle1[[#This Row],[mit Dämpfung]]=1,1,IF(Tabelle1[[#This Row],[ohne Dämpfung]]=1,2,IF(Tabelle1[[#This Row],[ohne Feder]]=1,3,0))),1,0)</f>
        <v>0</v>
      </c>
      <c r="G637" s="46">
        <f>IF(Tabelle1[[#This Row],[Links]]=select!$I$2,1,0)</f>
        <v>1</v>
      </c>
      <c r="H637" s="46">
        <f>IF(IF(Tabelle1[[#This Row],[Anschrauben]]=1,1,IF(Tabelle1[[#This Row],[Einpressen]]=1,2,IF(Tabelle1[[#This Row],[Werkzeuglos]]=1,3,0)))=select!$E$7,1,0)</f>
        <v>1</v>
      </c>
      <c r="I637" s="46">
        <f ca="1">IF(Tabelle1[[#This Row],[Winkel]]+Tabelle1[[#This Row],[Kröpfung]]+Tabelle1[[#This Row],[Däpfung]]+Tabelle1[[#This Row],[Bohrbild]]+Tabelle1[[#This Row],[Scharnierbefestigung]]=5,1,0)</f>
        <v>0</v>
      </c>
      <c r="J637" t="str">
        <f ca="1">Sprache!$A$57</f>
        <v>TIOMOS hinge TT-Click-on</v>
      </c>
      <c r="K637" t="str">
        <f ca="1">"110°, B-BB, K19, "&amp;Sprache!A59&amp;", ni"</f>
        <v>110°, B-BB, K19, Dowel, ni</v>
      </c>
      <c r="L637" t="str">
        <f ca="1">Sprache!$A$63</f>
        <v>TIOMOS Click-on hinges</v>
      </c>
      <c r="M637">
        <v>19</v>
      </c>
      <c r="N637" t="s">
        <v>3</v>
      </c>
      <c r="O637">
        <v>110</v>
      </c>
      <c r="P637">
        <v>0</v>
      </c>
      <c r="Q637">
        <v>0</v>
      </c>
      <c r="R637">
        <v>1</v>
      </c>
      <c r="S637">
        <v>0</v>
      </c>
      <c r="T637">
        <v>1</v>
      </c>
      <c r="U637">
        <v>0</v>
      </c>
      <c r="V637" s="14" t="s">
        <v>693</v>
      </c>
    </row>
    <row r="638" spans="1:22" ht="14.25" customHeight="1" x14ac:dyDescent="0.25">
      <c r="A638" s="48" t="str">
        <f>LEFT(Tabelle1[[#This Row],[Artikel'#]],4)</f>
        <v>F046</v>
      </c>
      <c r="B638" s="46" t="str">
        <f>MID(Tabelle1[[#This Row],[Artikel'#]],5,3)</f>
        <v>138</v>
      </c>
      <c r="C638" s="48" t="str">
        <f>RIGHT(Tabelle1[[#This Row],[Artikel'#]],3)</f>
        <v>607</v>
      </c>
      <c r="D638" s="46">
        <f>IF(Tabelle1[[#This Row],[Winkel2]]=select!$A$2,1,0)</f>
        <v>0</v>
      </c>
      <c r="E63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8" s="46">
        <f>IF(select!$E$16=IF(Tabelle1[[#This Row],[mit Dämpfung]]=1,1,IF(Tabelle1[[#This Row],[ohne Dämpfung]]=1,2,IF(Tabelle1[[#This Row],[ohne Feder]]=1,3,0))),1,0)</f>
        <v>0</v>
      </c>
      <c r="G638" s="46">
        <f>IF(Tabelle1[[#This Row],[Links]]=select!$I$2,1,0)</f>
        <v>1</v>
      </c>
      <c r="H638" s="46">
        <f>IF(IF(Tabelle1[[#This Row],[Anschrauben]]=1,1,IF(Tabelle1[[#This Row],[Einpressen]]=1,2,IF(Tabelle1[[#This Row],[Werkzeuglos]]=1,3,0)))=select!$E$7,1,0)</f>
        <v>0</v>
      </c>
      <c r="I638" s="46">
        <f ca="1">IF(Tabelle1[[#This Row],[Winkel]]+Tabelle1[[#This Row],[Kröpfung]]+Tabelle1[[#This Row],[Däpfung]]+Tabelle1[[#This Row],[Bohrbild]]+Tabelle1[[#This Row],[Scharnierbefestigung]]=5,1,0)</f>
        <v>0</v>
      </c>
      <c r="J638" t="str">
        <f ca="1">Sprache!$A$57</f>
        <v>TIOMOS hinge TT-Click-on</v>
      </c>
      <c r="K638" t="s">
        <v>349</v>
      </c>
      <c r="L638" t="str">
        <f ca="1">Sprache!$A$63</f>
        <v>TIOMOS Click-on hinges</v>
      </c>
      <c r="M638">
        <v>0</v>
      </c>
      <c r="N638" t="s">
        <v>3</v>
      </c>
      <c r="O638">
        <v>120</v>
      </c>
      <c r="P638">
        <v>0</v>
      </c>
      <c r="Q638">
        <v>0</v>
      </c>
      <c r="R638">
        <v>1</v>
      </c>
      <c r="S638">
        <v>1</v>
      </c>
      <c r="T638">
        <v>0</v>
      </c>
      <c r="U638">
        <v>0</v>
      </c>
      <c r="V638" s="14" t="s">
        <v>694</v>
      </c>
    </row>
    <row r="639" spans="1:22" ht="14.25" customHeight="1" x14ac:dyDescent="0.25">
      <c r="A639" s="48" t="str">
        <f>LEFT(Tabelle1[[#This Row],[Artikel'#]],4)</f>
        <v>F046</v>
      </c>
      <c r="B639" s="46" t="str">
        <f>MID(Tabelle1[[#This Row],[Artikel'#]],5,3)</f>
        <v>138</v>
      </c>
      <c r="C639" s="48" t="str">
        <f>RIGHT(Tabelle1[[#This Row],[Artikel'#]],3)</f>
        <v>608</v>
      </c>
      <c r="D639" s="46">
        <f>IF(Tabelle1[[#This Row],[Winkel2]]=select!$A$2,1,0)</f>
        <v>0</v>
      </c>
      <c r="E63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39" s="46">
        <f>IF(select!$E$16=IF(Tabelle1[[#This Row],[mit Dämpfung]]=1,1,IF(Tabelle1[[#This Row],[ohne Dämpfung]]=1,2,IF(Tabelle1[[#This Row],[ohne Feder]]=1,3,0))),1,0)</f>
        <v>0</v>
      </c>
      <c r="G639" s="46">
        <f>IF(Tabelle1[[#This Row],[Links]]=select!$I$2,1,0)</f>
        <v>1</v>
      </c>
      <c r="H639" s="46">
        <f>IF(IF(Tabelle1[[#This Row],[Anschrauben]]=1,1,IF(Tabelle1[[#This Row],[Einpressen]]=1,2,IF(Tabelle1[[#This Row],[Werkzeuglos]]=1,3,0)))=select!$E$7,1,0)</f>
        <v>0</v>
      </c>
      <c r="I639" s="46">
        <f ca="1">IF(Tabelle1[[#This Row],[Winkel]]+Tabelle1[[#This Row],[Kröpfung]]+Tabelle1[[#This Row],[Däpfung]]+Tabelle1[[#This Row],[Bohrbild]]+Tabelle1[[#This Row],[Scharnierbefestigung]]=5,1,0)</f>
        <v>0</v>
      </c>
      <c r="J639" t="str">
        <f ca="1">Sprache!$A$57</f>
        <v>TIOMOS hinge TT-Click-on</v>
      </c>
      <c r="K639" t="s">
        <v>351</v>
      </c>
      <c r="L639" t="str">
        <f ca="1">Sprache!$A$63</f>
        <v>TIOMOS Click-on hinges</v>
      </c>
      <c r="M639">
        <v>3</v>
      </c>
      <c r="N639" t="s">
        <v>3</v>
      </c>
      <c r="O639">
        <v>120</v>
      </c>
      <c r="P639">
        <v>0</v>
      </c>
      <c r="Q639">
        <v>0</v>
      </c>
      <c r="R639">
        <v>1</v>
      </c>
      <c r="S639">
        <v>1</v>
      </c>
      <c r="T639">
        <v>0</v>
      </c>
      <c r="U639">
        <v>0</v>
      </c>
      <c r="V639" s="14" t="s">
        <v>695</v>
      </c>
    </row>
    <row r="640" spans="1:22" ht="14.25" customHeight="1" x14ac:dyDescent="0.25">
      <c r="A640" s="48" t="str">
        <f>LEFT(Tabelle1[[#This Row],[Artikel'#]],4)</f>
        <v>F046</v>
      </c>
      <c r="B640" s="46" t="str">
        <f>MID(Tabelle1[[#This Row],[Artikel'#]],5,3)</f>
        <v>138</v>
      </c>
      <c r="C640" s="48" t="str">
        <f>RIGHT(Tabelle1[[#This Row],[Artikel'#]],3)</f>
        <v>609</v>
      </c>
      <c r="D640" s="46">
        <f>IF(Tabelle1[[#This Row],[Winkel2]]=select!$A$2,1,0)</f>
        <v>0</v>
      </c>
      <c r="E64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40" s="46">
        <f>IF(select!$E$16=IF(Tabelle1[[#This Row],[mit Dämpfung]]=1,1,IF(Tabelle1[[#This Row],[ohne Dämpfung]]=1,2,IF(Tabelle1[[#This Row],[ohne Feder]]=1,3,0))),1,0)</f>
        <v>0</v>
      </c>
      <c r="G640" s="46">
        <f>IF(Tabelle1[[#This Row],[Links]]=select!$I$2,1,0)</f>
        <v>1</v>
      </c>
      <c r="H640" s="46">
        <f>IF(IF(Tabelle1[[#This Row],[Anschrauben]]=1,1,IF(Tabelle1[[#This Row],[Einpressen]]=1,2,IF(Tabelle1[[#This Row],[Werkzeuglos]]=1,3,0)))=select!$E$7,1,0)</f>
        <v>0</v>
      </c>
      <c r="I640" s="46">
        <f ca="1">IF(Tabelle1[[#This Row],[Winkel]]+Tabelle1[[#This Row],[Kröpfung]]+Tabelle1[[#This Row],[Däpfung]]+Tabelle1[[#This Row],[Bohrbild]]+Tabelle1[[#This Row],[Scharnierbefestigung]]=5,1,0)</f>
        <v>0</v>
      </c>
      <c r="J640" t="str">
        <f ca="1">Sprache!$A$57</f>
        <v>TIOMOS hinge TT-Click-on</v>
      </c>
      <c r="K640" t="s">
        <v>353</v>
      </c>
      <c r="L640" t="str">
        <f ca="1">Sprache!$A$63</f>
        <v>TIOMOS Click-on hinges</v>
      </c>
      <c r="M640">
        <v>9.5</v>
      </c>
      <c r="N640" t="s">
        <v>3</v>
      </c>
      <c r="O640">
        <v>120</v>
      </c>
      <c r="P640">
        <v>0</v>
      </c>
      <c r="Q640">
        <v>0</v>
      </c>
      <c r="R640">
        <v>1</v>
      </c>
      <c r="S640">
        <v>1</v>
      </c>
      <c r="T640">
        <v>0</v>
      </c>
      <c r="U640">
        <v>0</v>
      </c>
      <c r="V640" s="14" t="s">
        <v>696</v>
      </c>
    </row>
    <row r="641" spans="1:22" ht="14.25" customHeight="1" x14ac:dyDescent="0.25">
      <c r="A641" s="48" t="str">
        <f>LEFT(Tabelle1[[#This Row],[Artikel'#]],4)</f>
        <v>F046</v>
      </c>
      <c r="B641" s="46" t="str">
        <f>MID(Tabelle1[[#This Row],[Artikel'#]],5,3)</f>
        <v>138</v>
      </c>
      <c r="C641" s="48" t="str">
        <f>RIGHT(Tabelle1[[#This Row],[Artikel'#]],3)</f>
        <v>610</v>
      </c>
      <c r="D641" s="46">
        <f>IF(Tabelle1[[#This Row],[Winkel2]]=select!$A$2,1,0)</f>
        <v>0</v>
      </c>
      <c r="E64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1" s="46">
        <f>IF(select!$E$16=IF(Tabelle1[[#This Row],[mit Dämpfung]]=1,1,IF(Tabelle1[[#This Row],[ohne Dämpfung]]=1,2,IF(Tabelle1[[#This Row],[ohne Feder]]=1,3,0))),1,0)</f>
        <v>0</v>
      </c>
      <c r="G641" s="46">
        <f>IF(Tabelle1[[#This Row],[Links]]=select!$I$2,1,0)</f>
        <v>1</v>
      </c>
      <c r="H641" s="46">
        <f>IF(IF(Tabelle1[[#This Row],[Anschrauben]]=1,1,IF(Tabelle1[[#This Row],[Einpressen]]=1,2,IF(Tabelle1[[#This Row],[Werkzeuglos]]=1,3,0)))=select!$E$7,1,0)</f>
        <v>0</v>
      </c>
      <c r="I641" s="46">
        <f ca="1">IF(Tabelle1[[#This Row],[Winkel]]+Tabelle1[[#This Row],[Kröpfung]]+Tabelle1[[#This Row],[Däpfung]]+Tabelle1[[#This Row],[Bohrbild]]+Tabelle1[[#This Row],[Scharnierbefestigung]]=5,1,0)</f>
        <v>0</v>
      </c>
      <c r="J641" t="str">
        <f ca="1">Sprache!$A$57</f>
        <v>TIOMOS hinge TT-Click-on</v>
      </c>
      <c r="K641" t="s">
        <v>355</v>
      </c>
      <c r="L641" t="str">
        <f ca="1">Sprache!$A$63</f>
        <v>TIOMOS Click-on hinges</v>
      </c>
      <c r="M641">
        <v>19</v>
      </c>
      <c r="N641" t="s">
        <v>3</v>
      </c>
      <c r="O641">
        <v>120</v>
      </c>
      <c r="P641">
        <v>0</v>
      </c>
      <c r="Q641">
        <v>0</v>
      </c>
      <c r="R641">
        <v>1</v>
      </c>
      <c r="S641">
        <v>1</v>
      </c>
      <c r="T641">
        <v>0</v>
      </c>
      <c r="U641">
        <v>0</v>
      </c>
      <c r="V641" s="14" t="s">
        <v>697</v>
      </c>
    </row>
    <row r="642" spans="1:22" ht="14.25" customHeight="1" x14ac:dyDescent="0.25">
      <c r="A642" s="48" t="str">
        <f>LEFT(Tabelle1[[#This Row],[Artikel'#]],4)</f>
        <v>F046</v>
      </c>
      <c r="B642" s="46" t="str">
        <f>MID(Tabelle1[[#This Row],[Artikel'#]],5,3)</f>
        <v>138</v>
      </c>
      <c r="C642" s="48" t="str">
        <f>RIGHT(Tabelle1[[#This Row],[Artikel'#]],3)</f>
        <v>611</v>
      </c>
      <c r="D642" s="46">
        <f>IF(Tabelle1[[#This Row],[Winkel2]]=select!$A$2,1,0)</f>
        <v>0</v>
      </c>
      <c r="E64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2" s="46">
        <f>IF(select!$E$16=IF(Tabelle1[[#This Row],[mit Dämpfung]]=1,1,IF(Tabelle1[[#This Row],[ohne Dämpfung]]=1,2,IF(Tabelle1[[#This Row],[ohne Feder]]=1,3,0))),1,0)</f>
        <v>0</v>
      </c>
      <c r="G642" s="46">
        <f>IF(Tabelle1[[#This Row],[Links]]=select!$I$2,1,0)</f>
        <v>1</v>
      </c>
      <c r="H642" s="46">
        <f>IF(IF(Tabelle1[[#This Row],[Anschrauben]]=1,1,IF(Tabelle1[[#This Row],[Einpressen]]=1,2,IF(Tabelle1[[#This Row],[Werkzeuglos]]=1,3,0)))=select!$E$7,1,0)</f>
        <v>1</v>
      </c>
      <c r="I642" s="46">
        <f ca="1">IF(Tabelle1[[#This Row],[Winkel]]+Tabelle1[[#This Row],[Kröpfung]]+Tabelle1[[#This Row],[Däpfung]]+Tabelle1[[#This Row],[Bohrbild]]+Tabelle1[[#This Row],[Scharnierbefestigung]]=5,1,0)</f>
        <v>0</v>
      </c>
      <c r="J642" t="str">
        <f ca="1">Sprache!$A$57</f>
        <v>TIOMOS hinge TT-Click-on</v>
      </c>
      <c r="K642" t="str">
        <f ca="1">"120°, B-BB, K00, "&amp;Sprache!A59&amp;", ni"</f>
        <v>120°, B-BB, K00, Dowel, ni</v>
      </c>
      <c r="L642" t="str">
        <f ca="1">Sprache!$A$63</f>
        <v>TIOMOS Click-on hinges</v>
      </c>
      <c r="M642">
        <v>0</v>
      </c>
      <c r="N642" t="s">
        <v>3</v>
      </c>
      <c r="O642">
        <v>120</v>
      </c>
      <c r="P642">
        <v>0</v>
      </c>
      <c r="Q642">
        <v>0</v>
      </c>
      <c r="R642">
        <v>1</v>
      </c>
      <c r="S642">
        <v>0</v>
      </c>
      <c r="T642">
        <v>1</v>
      </c>
      <c r="U642">
        <v>0</v>
      </c>
      <c r="V642" s="14" t="s">
        <v>698</v>
      </c>
    </row>
    <row r="643" spans="1:22" ht="14.25" customHeight="1" x14ac:dyDescent="0.25">
      <c r="A643" s="48" t="str">
        <f>LEFT(Tabelle1[[#This Row],[Artikel'#]],4)</f>
        <v>F046</v>
      </c>
      <c r="B643" s="46" t="str">
        <f>MID(Tabelle1[[#This Row],[Artikel'#]],5,3)</f>
        <v>138</v>
      </c>
      <c r="C643" s="48" t="str">
        <f>RIGHT(Tabelle1[[#This Row],[Artikel'#]],3)</f>
        <v>612</v>
      </c>
      <c r="D643" s="46">
        <f>IF(Tabelle1[[#This Row],[Winkel2]]=select!$A$2,1,0)</f>
        <v>0</v>
      </c>
      <c r="E64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3" s="46">
        <f>IF(select!$E$16=IF(Tabelle1[[#This Row],[mit Dämpfung]]=1,1,IF(Tabelle1[[#This Row],[ohne Dämpfung]]=1,2,IF(Tabelle1[[#This Row],[ohne Feder]]=1,3,0))),1,0)</f>
        <v>0</v>
      </c>
      <c r="G643" s="46">
        <f>IF(Tabelle1[[#This Row],[Links]]=select!$I$2,1,0)</f>
        <v>1</v>
      </c>
      <c r="H643" s="46">
        <f>IF(IF(Tabelle1[[#This Row],[Anschrauben]]=1,1,IF(Tabelle1[[#This Row],[Einpressen]]=1,2,IF(Tabelle1[[#This Row],[Werkzeuglos]]=1,3,0)))=select!$E$7,1,0)</f>
        <v>1</v>
      </c>
      <c r="I643" s="46">
        <f ca="1">IF(Tabelle1[[#This Row],[Winkel]]+Tabelle1[[#This Row],[Kröpfung]]+Tabelle1[[#This Row],[Däpfung]]+Tabelle1[[#This Row],[Bohrbild]]+Tabelle1[[#This Row],[Scharnierbefestigung]]=5,1,0)</f>
        <v>0</v>
      </c>
      <c r="J643" t="str">
        <f ca="1">Sprache!$A$57</f>
        <v>TIOMOS hinge TT-Click-on</v>
      </c>
      <c r="K643" t="str">
        <f ca="1">"120°, B-BB, K03, "&amp;Sprache!A59&amp;", ni"</f>
        <v>120°, B-BB, K03, Dowel, ni</v>
      </c>
      <c r="L643" t="str">
        <f ca="1">Sprache!$A$63</f>
        <v>TIOMOS Click-on hinges</v>
      </c>
      <c r="M643">
        <v>3</v>
      </c>
      <c r="N643" t="s">
        <v>3</v>
      </c>
      <c r="O643">
        <v>120</v>
      </c>
      <c r="P643">
        <v>0</v>
      </c>
      <c r="Q643">
        <v>0</v>
      </c>
      <c r="R643">
        <v>1</v>
      </c>
      <c r="S643">
        <v>0</v>
      </c>
      <c r="T643">
        <v>1</v>
      </c>
      <c r="U643">
        <v>0</v>
      </c>
      <c r="V643" s="14" t="s">
        <v>699</v>
      </c>
    </row>
    <row r="644" spans="1:22" ht="14.25" customHeight="1" x14ac:dyDescent="0.25">
      <c r="A644" s="48" t="str">
        <f>LEFT(Tabelle1[[#This Row],[Artikel'#]],4)</f>
        <v>F046</v>
      </c>
      <c r="B644" s="46" t="str">
        <f>MID(Tabelle1[[#This Row],[Artikel'#]],5,3)</f>
        <v>138</v>
      </c>
      <c r="C644" s="48" t="str">
        <f>RIGHT(Tabelle1[[#This Row],[Artikel'#]],3)</f>
        <v>613</v>
      </c>
      <c r="D644" s="46">
        <f>IF(Tabelle1[[#This Row],[Winkel2]]=select!$A$2,1,0)</f>
        <v>0</v>
      </c>
      <c r="E64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44" s="46">
        <f>IF(select!$E$16=IF(Tabelle1[[#This Row],[mit Dämpfung]]=1,1,IF(Tabelle1[[#This Row],[ohne Dämpfung]]=1,2,IF(Tabelle1[[#This Row],[ohne Feder]]=1,3,0))),1,0)</f>
        <v>0</v>
      </c>
      <c r="G644" s="46">
        <f>IF(Tabelle1[[#This Row],[Links]]=select!$I$2,1,0)</f>
        <v>1</v>
      </c>
      <c r="H644" s="46">
        <f>IF(IF(Tabelle1[[#This Row],[Anschrauben]]=1,1,IF(Tabelle1[[#This Row],[Einpressen]]=1,2,IF(Tabelle1[[#This Row],[Werkzeuglos]]=1,3,0)))=select!$E$7,1,0)</f>
        <v>1</v>
      </c>
      <c r="I644" s="46">
        <f ca="1">IF(Tabelle1[[#This Row],[Winkel]]+Tabelle1[[#This Row],[Kröpfung]]+Tabelle1[[#This Row],[Däpfung]]+Tabelle1[[#This Row],[Bohrbild]]+Tabelle1[[#This Row],[Scharnierbefestigung]]=5,1,0)</f>
        <v>0</v>
      </c>
      <c r="J644" t="str">
        <f ca="1">Sprache!$A$57</f>
        <v>TIOMOS hinge TT-Click-on</v>
      </c>
      <c r="K644" t="str">
        <f ca="1">"120°, B-BB, K95, "&amp;Sprache!A59&amp;", ni"</f>
        <v>120°, B-BB, K95, Dowel, ni</v>
      </c>
      <c r="L644" t="str">
        <f ca="1">Sprache!$A$63</f>
        <v>TIOMOS Click-on hinges</v>
      </c>
      <c r="M644">
        <v>9.5</v>
      </c>
      <c r="N644" t="s">
        <v>3</v>
      </c>
      <c r="O644">
        <v>120</v>
      </c>
      <c r="P644">
        <v>0</v>
      </c>
      <c r="Q644">
        <v>0</v>
      </c>
      <c r="R644">
        <v>1</v>
      </c>
      <c r="S644">
        <v>0</v>
      </c>
      <c r="T644">
        <v>1</v>
      </c>
      <c r="U644">
        <v>0</v>
      </c>
      <c r="V644" s="14" t="s">
        <v>700</v>
      </c>
    </row>
    <row r="645" spans="1:22" ht="14.25" customHeight="1" x14ac:dyDescent="0.25">
      <c r="A645" s="48" t="str">
        <f>LEFT(Tabelle1[[#This Row],[Artikel'#]],4)</f>
        <v>F046</v>
      </c>
      <c r="B645" s="46" t="str">
        <f>MID(Tabelle1[[#This Row],[Artikel'#]],5,3)</f>
        <v>138</v>
      </c>
      <c r="C645" s="48" t="str">
        <f>RIGHT(Tabelle1[[#This Row],[Artikel'#]],3)</f>
        <v>614</v>
      </c>
      <c r="D645" s="46">
        <f>IF(Tabelle1[[#This Row],[Winkel2]]=select!$A$2,1,0)</f>
        <v>0</v>
      </c>
      <c r="E64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5" s="46">
        <f>IF(select!$E$16=IF(Tabelle1[[#This Row],[mit Dämpfung]]=1,1,IF(Tabelle1[[#This Row],[ohne Dämpfung]]=1,2,IF(Tabelle1[[#This Row],[ohne Feder]]=1,3,0))),1,0)</f>
        <v>0</v>
      </c>
      <c r="G645" s="46">
        <f>IF(Tabelle1[[#This Row],[Links]]=select!$I$2,1,0)</f>
        <v>1</v>
      </c>
      <c r="H645" s="46">
        <f>IF(IF(Tabelle1[[#This Row],[Anschrauben]]=1,1,IF(Tabelle1[[#This Row],[Einpressen]]=1,2,IF(Tabelle1[[#This Row],[Werkzeuglos]]=1,3,0)))=select!$E$7,1,0)</f>
        <v>1</v>
      </c>
      <c r="I645" s="46">
        <f ca="1">IF(Tabelle1[[#This Row],[Winkel]]+Tabelle1[[#This Row],[Kröpfung]]+Tabelle1[[#This Row],[Däpfung]]+Tabelle1[[#This Row],[Bohrbild]]+Tabelle1[[#This Row],[Scharnierbefestigung]]=5,1,0)</f>
        <v>0</v>
      </c>
      <c r="J645" t="str">
        <f ca="1">Sprache!$A$57</f>
        <v>TIOMOS hinge TT-Click-on</v>
      </c>
      <c r="K645" t="str">
        <f ca="1">"120°, B-BB, K19, "&amp;Sprache!A59&amp;", ni"</f>
        <v>120°, B-BB, K19, Dowel, ni</v>
      </c>
      <c r="L645" t="str">
        <f ca="1">Sprache!$A$63</f>
        <v>TIOMOS Click-on hinges</v>
      </c>
      <c r="M645">
        <v>19</v>
      </c>
      <c r="N645" t="s">
        <v>3</v>
      </c>
      <c r="O645">
        <v>120</v>
      </c>
      <c r="P645">
        <v>0</v>
      </c>
      <c r="Q645">
        <v>0</v>
      </c>
      <c r="R645">
        <v>1</v>
      </c>
      <c r="S645">
        <v>0</v>
      </c>
      <c r="T645">
        <v>1</v>
      </c>
      <c r="U645">
        <v>0</v>
      </c>
      <c r="V645" s="14" t="s">
        <v>701</v>
      </c>
    </row>
    <row r="646" spans="1:22" ht="14.25" customHeight="1" x14ac:dyDescent="0.25">
      <c r="A646" s="48" t="str">
        <f>LEFT(Tabelle1[[#This Row],[Artikel'#]],4)</f>
        <v>F046</v>
      </c>
      <c r="B646" s="46" t="str">
        <f>MID(Tabelle1[[#This Row],[Artikel'#]],5,3)</f>
        <v>138</v>
      </c>
      <c r="C646" s="48" t="str">
        <f>RIGHT(Tabelle1[[#This Row],[Artikel'#]],3)</f>
        <v>621</v>
      </c>
      <c r="D646" s="46">
        <f>IF(Tabelle1[[#This Row],[Winkel2]]=select!$A$2,1,0)</f>
        <v>0</v>
      </c>
      <c r="E64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6" s="46">
        <f>IF(select!$E$16=IF(Tabelle1[[#This Row],[mit Dämpfung]]=1,1,IF(Tabelle1[[#This Row],[ohne Dämpfung]]=1,2,IF(Tabelle1[[#This Row],[ohne Feder]]=1,3,0))),1,0)</f>
        <v>0</v>
      </c>
      <c r="G646" s="46">
        <f>IF(Tabelle1[[#This Row],[Links]]=select!$I$2,1,0)</f>
        <v>1</v>
      </c>
      <c r="H646" s="46">
        <f>IF(IF(Tabelle1[[#This Row],[Anschrauben]]=1,1,IF(Tabelle1[[#This Row],[Einpressen]]=1,2,IF(Tabelle1[[#This Row],[Werkzeuglos]]=1,3,0)))=select!$E$7,1,0)</f>
        <v>0</v>
      </c>
      <c r="I646" s="46">
        <f ca="1">IF(Tabelle1[[#This Row],[Winkel]]+Tabelle1[[#This Row],[Kröpfung]]+Tabelle1[[#This Row],[Däpfung]]+Tabelle1[[#This Row],[Bohrbild]]+Tabelle1[[#This Row],[Scharnierbefestigung]]=5,1,0)</f>
        <v>0</v>
      </c>
      <c r="J646" t="str">
        <f ca="1">Sprache!$A$57</f>
        <v>TIOMOS hinge TT-Click-on</v>
      </c>
      <c r="K646" t="s">
        <v>361</v>
      </c>
      <c r="L646" t="str">
        <f ca="1">Sprache!$A$63</f>
        <v>TIOMOS Click-on hinges</v>
      </c>
      <c r="M646">
        <v>0</v>
      </c>
      <c r="N646" s="13" t="s">
        <v>3</v>
      </c>
      <c r="O646">
        <v>160</v>
      </c>
      <c r="P646">
        <v>0</v>
      </c>
      <c r="Q646">
        <v>0</v>
      </c>
      <c r="R646">
        <v>1</v>
      </c>
      <c r="S646">
        <v>1</v>
      </c>
      <c r="T646">
        <v>0</v>
      </c>
      <c r="U646">
        <v>0</v>
      </c>
      <c r="V646" s="14" t="s">
        <v>702</v>
      </c>
    </row>
    <row r="647" spans="1:22" ht="14.25" customHeight="1" x14ac:dyDescent="0.25">
      <c r="A647" s="48" t="str">
        <f>LEFT(Tabelle1[[#This Row],[Artikel'#]],4)</f>
        <v>F046</v>
      </c>
      <c r="B647" s="46" t="str">
        <f>MID(Tabelle1[[#This Row],[Artikel'#]],5,3)</f>
        <v>138</v>
      </c>
      <c r="C647" s="48" t="str">
        <f>RIGHT(Tabelle1[[#This Row],[Artikel'#]],3)</f>
        <v>622</v>
      </c>
      <c r="D647" s="46">
        <f>IF(Tabelle1[[#This Row],[Winkel2]]=select!$A$2,1,0)</f>
        <v>0</v>
      </c>
      <c r="E64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7" s="46">
        <f>IF(select!$E$16=IF(Tabelle1[[#This Row],[mit Dämpfung]]=1,1,IF(Tabelle1[[#This Row],[ohne Dämpfung]]=1,2,IF(Tabelle1[[#This Row],[ohne Feder]]=1,3,0))),1,0)</f>
        <v>0</v>
      </c>
      <c r="G647" s="46">
        <f>IF(Tabelle1[[#This Row],[Links]]=select!$I$2,1,0)</f>
        <v>1</v>
      </c>
      <c r="H647" s="46">
        <f>IF(IF(Tabelle1[[#This Row],[Anschrauben]]=1,1,IF(Tabelle1[[#This Row],[Einpressen]]=1,2,IF(Tabelle1[[#This Row],[Werkzeuglos]]=1,3,0)))=select!$E$7,1,0)</f>
        <v>0</v>
      </c>
      <c r="I647" s="46">
        <f ca="1">IF(Tabelle1[[#This Row],[Winkel]]+Tabelle1[[#This Row],[Kröpfung]]+Tabelle1[[#This Row],[Däpfung]]+Tabelle1[[#This Row],[Bohrbild]]+Tabelle1[[#This Row],[Scharnierbefestigung]]=5,1,0)</f>
        <v>0</v>
      </c>
      <c r="J647" t="str">
        <f ca="1">Sprache!$A$57</f>
        <v>TIOMOS hinge TT-Click-on</v>
      </c>
      <c r="K647" t="s">
        <v>363</v>
      </c>
      <c r="L647" t="str">
        <f ca="1">Sprache!$A$63</f>
        <v>TIOMOS Click-on hinges</v>
      </c>
      <c r="M647">
        <v>3</v>
      </c>
      <c r="N647" t="s">
        <v>3</v>
      </c>
      <c r="O647">
        <v>160</v>
      </c>
      <c r="P647">
        <v>0</v>
      </c>
      <c r="Q647">
        <v>0</v>
      </c>
      <c r="R647">
        <v>1</v>
      </c>
      <c r="S647">
        <v>1</v>
      </c>
      <c r="T647">
        <v>0</v>
      </c>
      <c r="U647">
        <v>0</v>
      </c>
      <c r="V647" s="14" t="s">
        <v>703</v>
      </c>
    </row>
    <row r="648" spans="1:22" ht="14.25" customHeight="1" x14ac:dyDescent="0.25">
      <c r="A648" s="48" t="str">
        <f>LEFT(Tabelle1[[#This Row],[Artikel'#]],4)</f>
        <v>F046</v>
      </c>
      <c r="B648" s="46" t="str">
        <f>MID(Tabelle1[[#This Row],[Artikel'#]],5,3)</f>
        <v>138</v>
      </c>
      <c r="C648" s="48" t="str">
        <f>RIGHT(Tabelle1[[#This Row],[Artikel'#]],3)</f>
        <v>623</v>
      </c>
      <c r="D648" s="46">
        <f>IF(Tabelle1[[#This Row],[Winkel2]]=select!$A$2,1,0)</f>
        <v>0</v>
      </c>
      <c r="E64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48" s="46">
        <f>IF(select!$E$16=IF(Tabelle1[[#This Row],[mit Dämpfung]]=1,1,IF(Tabelle1[[#This Row],[ohne Dämpfung]]=1,2,IF(Tabelle1[[#This Row],[ohne Feder]]=1,3,0))),1,0)</f>
        <v>0</v>
      </c>
      <c r="G648" s="46">
        <f>IF(Tabelle1[[#This Row],[Links]]=select!$I$2,1,0)</f>
        <v>1</v>
      </c>
      <c r="H648" s="46">
        <f>IF(IF(Tabelle1[[#This Row],[Anschrauben]]=1,1,IF(Tabelle1[[#This Row],[Einpressen]]=1,2,IF(Tabelle1[[#This Row],[Werkzeuglos]]=1,3,0)))=select!$E$7,1,0)</f>
        <v>0</v>
      </c>
      <c r="I648" s="46">
        <f ca="1">IF(Tabelle1[[#This Row],[Winkel]]+Tabelle1[[#This Row],[Kröpfung]]+Tabelle1[[#This Row],[Däpfung]]+Tabelle1[[#This Row],[Bohrbild]]+Tabelle1[[#This Row],[Scharnierbefestigung]]=5,1,0)</f>
        <v>0</v>
      </c>
      <c r="J648" t="str">
        <f ca="1">Sprache!$A$57</f>
        <v>TIOMOS hinge TT-Click-on</v>
      </c>
      <c r="K648" t="s">
        <v>365</v>
      </c>
      <c r="L648" t="str">
        <f ca="1">Sprache!$A$63</f>
        <v>TIOMOS Click-on hinges</v>
      </c>
      <c r="M648">
        <v>9.5</v>
      </c>
      <c r="N648" t="s">
        <v>3</v>
      </c>
      <c r="O648">
        <v>160</v>
      </c>
      <c r="P648">
        <v>0</v>
      </c>
      <c r="Q648">
        <v>0</v>
      </c>
      <c r="R648">
        <v>1</v>
      </c>
      <c r="S648">
        <v>1</v>
      </c>
      <c r="T648">
        <v>0</v>
      </c>
      <c r="U648">
        <v>0</v>
      </c>
      <c r="V648" s="14" t="s">
        <v>704</v>
      </c>
    </row>
    <row r="649" spans="1:22" ht="14.25" customHeight="1" x14ac:dyDescent="0.25">
      <c r="A649" s="48" t="str">
        <f>LEFT(Tabelle1[[#This Row],[Artikel'#]],4)</f>
        <v>F046</v>
      </c>
      <c r="B649" s="46" t="str">
        <f>MID(Tabelle1[[#This Row],[Artikel'#]],5,3)</f>
        <v>138</v>
      </c>
      <c r="C649" s="48" t="str">
        <f>RIGHT(Tabelle1[[#This Row],[Artikel'#]],3)</f>
        <v>624</v>
      </c>
      <c r="D649" s="46">
        <f>IF(Tabelle1[[#This Row],[Winkel2]]=select!$A$2,1,0)</f>
        <v>0</v>
      </c>
      <c r="E64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49" s="46">
        <f>IF(select!$E$16=IF(Tabelle1[[#This Row],[mit Dämpfung]]=1,1,IF(Tabelle1[[#This Row],[ohne Dämpfung]]=1,2,IF(Tabelle1[[#This Row],[ohne Feder]]=1,3,0))),1,0)</f>
        <v>0</v>
      </c>
      <c r="G649" s="46">
        <f>IF(Tabelle1[[#This Row],[Links]]=select!$I$2,1,0)</f>
        <v>1</v>
      </c>
      <c r="H649" s="46">
        <f>IF(IF(Tabelle1[[#This Row],[Anschrauben]]=1,1,IF(Tabelle1[[#This Row],[Einpressen]]=1,2,IF(Tabelle1[[#This Row],[Werkzeuglos]]=1,3,0)))=select!$E$7,1,0)</f>
        <v>1</v>
      </c>
      <c r="I649" s="46">
        <f ca="1">IF(Tabelle1[[#This Row],[Winkel]]+Tabelle1[[#This Row],[Kröpfung]]+Tabelle1[[#This Row],[Däpfung]]+Tabelle1[[#This Row],[Bohrbild]]+Tabelle1[[#This Row],[Scharnierbefestigung]]=5,1,0)</f>
        <v>0</v>
      </c>
      <c r="J649" t="str">
        <f ca="1">Sprache!$A$57</f>
        <v>TIOMOS hinge TT-Click-on</v>
      </c>
      <c r="K649" t="str">
        <f ca="1">"160°, B-BB, K00, "&amp;Sprache!A59&amp;", ni"</f>
        <v>160°, B-BB, K00, Dowel, ni</v>
      </c>
      <c r="L649" t="str">
        <f ca="1">Sprache!$A$63</f>
        <v>TIOMOS Click-on hinges</v>
      </c>
      <c r="M649">
        <v>0</v>
      </c>
      <c r="N649" s="13" t="s">
        <v>3</v>
      </c>
      <c r="O649">
        <v>160</v>
      </c>
      <c r="P649">
        <v>0</v>
      </c>
      <c r="Q649">
        <v>0</v>
      </c>
      <c r="R649">
        <v>1</v>
      </c>
      <c r="S649">
        <v>0</v>
      </c>
      <c r="T649">
        <v>1</v>
      </c>
      <c r="U649">
        <v>0</v>
      </c>
      <c r="V649" s="14" t="s">
        <v>705</v>
      </c>
    </row>
    <row r="650" spans="1:22" ht="14.25" customHeight="1" x14ac:dyDescent="0.25">
      <c r="A650" s="48" t="str">
        <f>LEFT(Tabelle1[[#This Row],[Artikel'#]],4)</f>
        <v>F046</v>
      </c>
      <c r="B650" s="46" t="str">
        <f>MID(Tabelle1[[#This Row],[Artikel'#]],5,3)</f>
        <v>138</v>
      </c>
      <c r="C650" s="48" t="str">
        <f>RIGHT(Tabelle1[[#This Row],[Artikel'#]],3)</f>
        <v>625</v>
      </c>
      <c r="D650" s="46">
        <f>IF(Tabelle1[[#This Row],[Winkel2]]=select!$A$2,1,0)</f>
        <v>0</v>
      </c>
      <c r="E65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0" s="46">
        <f>IF(select!$E$16=IF(Tabelle1[[#This Row],[mit Dämpfung]]=1,1,IF(Tabelle1[[#This Row],[ohne Dämpfung]]=1,2,IF(Tabelle1[[#This Row],[ohne Feder]]=1,3,0))),1,0)</f>
        <v>0</v>
      </c>
      <c r="G650" s="46">
        <f>IF(Tabelle1[[#This Row],[Links]]=select!$I$2,1,0)</f>
        <v>1</v>
      </c>
      <c r="H650" s="46">
        <f>IF(IF(Tabelle1[[#This Row],[Anschrauben]]=1,1,IF(Tabelle1[[#This Row],[Einpressen]]=1,2,IF(Tabelle1[[#This Row],[Werkzeuglos]]=1,3,0)))=select!$E$7,1,0)</f>
        <v>1</v>
      </c>
      <c r="I650" s="46">
        <f ca="1">IF(Tabelle1[[#This Row],[Winkel]]+Tabelle1[[#This Row],[Kröpfung]]+Tabelle1[[#This Row],[Däpfung]]+Tabelle1[[#This Row],[Bohrbild]]+Tabelle1[[#This Row],[Scharnierbefestigung]]=5,1,0)</f>
        <v>0</v>
      </c>
      <c r="J650" t="str">
        <f ca="1">Sprache!$A$57</f>
        <v>TIOMOS hinge TT-Click-on</v>
      </c>
      <c r="K650" t="str">
        <f ca="1">"160°, B-BB, K03, "&amp;Sprache!A59&amp;", ni"</f>
        <v>160°, B-BB, K03, Dowel, ni</v>
      </c>
      <c r="L650" t="str">
        <f ca="1">Sprache!$A$63</f>
        <v>TIOMOS Click-on hinges</v>
      </c>
      <c r="M650">
        <v>3</v>
      </c>
      <c r="N650" t="s">
        <v>3</v>
      </c>
      <c r="O650">
        <v>160</v>
      </c>
      <c r="P650">
        <v>0</v>
      </c>
      <c r="Q650">
        <v>0</v>
      </c>
      <c r="R650">
        <v>1</v>
      </c>
      <c r="S650">
        <v>0</v>
      </c>
      <c r="T650">
        <v>1</v>
      </c>
      <c r="U650">
        <v>0</v>
      </c>
      <c r="V650" s="14" t="s">
        <v>706</v>
      </c>
    </row>
    <row r="651" spans="1:22" ht="14.25" customHeight="1" x14ac:dyDescent="0.25">
      <c r="A651" s="48" t="str">
        <f>LEFT(Tabelle1[[#This Row],[Artikel'#]],4)</f>
        <v>F046</v>
      </c>
      <c r="B651" s="46" t="str">
        <f>MID(Tabelle1[[#This Row],[Artikel'#]],5,3)</f>
        <v>138</v>
      </c>
      <c r="C651" s="48" t="str">
        <f>RIGHT(Tabelle1[[#This Row],[Artikel'#]],3)</f>
        <v>626</v>
      </c>
      <c r="D651" s="46">
        <f>IF(Tabelle1[[#This Row],[Winkel2]]=select!$A$2,1,0)</f>
        <v>0</v>
      </c>
      <c r="E65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51" s="46">
        <f>IF(select!$E$16=IF(Tabelle1[[#This Row],[mit Dämpfung]]=1,1,IF(Tabelle1[[#This Row],[ohne Dämpfung]]=1,2,IF(Tabelle1[[#This Row],[ohne Feder]]=1,3,0))),1,0)</f>
        <v>0</v>
      </c>
      <c r="G651" s="46">
        <f>IF(Tabelle1[[#This Row],[Links]]=select!$I$2,1,0)</f>
        <v>1</v>
      </c>
      <c r="H651" s="46">
        <f>IF(IF(Tabelle1[[#This Row],[Anschrauben]]=1,1,IF(Tabelle1[[#This Row],[Einpressen]]=1,2,IF(Tabelle1[[#This Row],[Werkzeuglos]]=1,3,0)))=select!$E$7,1,0)</f>
        <v>1</v>
      </c>
      <c r="I651" s="46">
        <f ca="1">IF(Tabelle1[[#This Row],[Winkel]]+Tabelle1[[#This Row],[Kröpfung]]+Tabelle1[[#This Row],[Däpfung]]+Tabelle1[[#This Row],[Bohrbild]]+Tabelle1[[#This Row],[Scharnierbefestigung]]=5,1,0)</f>
        <v>0</v>
      </c>
      <c r="J651" t="str">
        <f ca="1">Sprache!$A$57</f>
        <v>TIOMOS hinge TT-Click-on</v>
      </c>
      <c r="K651" t="str">
        <f ca="1">"160°, B-BB, K95, "&amp;Sprache!A59&amp;", ni"</f>
        <v>160°, B-BB, K95, Dowel, ni</v>
      </c>
      <c r="L651" t="str">
        <f ca="1">Sprache!$A$63</f>
        <v>TIOMOS Click-on hinges</v>
      </c>
      <c r="M651">
        <v>9.5</v>
      </c>
      <c r="N651" t="s">
        <v>3</v>
      </c>
      <c r="O651">
        <v>160</v>
      </c>
      <c r="P651">
        <v>0</v>
      </c>
      <c r="Q651">
        <v>0</v>
      </c>
      <c r="R651">
        <v>1</v>
      </c>
      <c r="S651">
        <v>0</v>
      </c>
      <c r="T651">
        <v>1</v>
      </c>
      <c r="U651">
        <v>0</v>
      </c>
      <c r="V651" s="14" t="s">
        <v>707</v>
      </c>
    </row>
    <row r="652" spans="1:22" ht="14.25" customHeight="1" x14ac:dyDescent="0.25">
      <c r="A652" s="48" t="str">
        <f>LEFT(Tabelle1[[#This Row],[Artikel'#]],4)</f>
        <v>F046</v>
      </c>
      <c r="B652" s="46" t="str">
        <f>MID(Tabelle1[[#This Row],[Artikel'#]],5,3)</f>
        <v>138</v>
      </c>
      <c r="C652" s="48" t="str">
        <f>RIGHT(Tabelle1[[#This Row],[Artikel'#]],3)</f>
        <v>627</v>
      </c>
      <c r="D652" s="46">
        <f>IF(Tabelle1[[#This Row],[Winkel2]]=select!$A$2,1,0)</f>
        <v>0</v>
      </c>
      <c r="E65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2" s="46">
        <f>IF(select!$E$16=IF(Tabelle1[[#This Row],[mit Dämpfung]]=1,1,IF(Tabelle1[[#This Row],[ohne Dämpfung]]=1,2,IF(Tabelle1[[#This Row],[ohne Feder]]=1,3,0))),1,0)</f>
        <v>0</v>
      </c>
      <c r="G652" s="46">
        <f>IF(Tabelle1[[#This Row],[Links]]=select!$I$2,1,0)</f>
        <v>1</v>
      </c>
      <c r="H652" s="46">
        <f>IF(IF(Tabelle1[[#This Row],[Anschrauben]]=1,1,IF(Tabelle1[[#This Row],[Einpressen]]=1,2,IF(Tabelle1[[#This Row],[Werkzeuglos]]=1,3,0)))=select!$E$7,1,0)</f>
        <v>0</v>
      </c>
      <c r="I652" s="46">
        <f ca="1">IF(Tabelle1[[#This Row],[Winkel]]+Tabelle1[[#This Row],[Kröpfung]]+Tabelle1[[#This Row],[Däpfung]]+Tabelle1[[#This Row],[Bohrbild]]+Tabelle1[[#This Row],[Scharnierbefestigung]]=5,1,0)</f>
        <v>0</v>
      </c>
      <c r="J652" t="str">
        <f ca="1">Sprache!$A$57</f>
        <v>TIOMOS hinge TT-Click-on</v>
      </c>
      <c r="K652" t="s">
        <v>370</v>
      </c>
      <c r="L652" t="str">
        <f ca="1">Sprache!$A$63</f>
        <v>TIOMOS Click-on hinges</v>
      </c>
      <c r="M652">
        <v>0</v>
      </c>
      <c r="N652" t="s">
        <v>3</v>
      </c>
      <c r="O652">
        <v>95</v>
      </c>
      <c r="P652">
        <v>0</v>
      </c>
      <c r="Q652">
        <v>0</v>
      </c>
      <c r="R652">
        <v>1</v>
      </c>
      <c r="S652">
        <v>1</v>
      </c>
      <c r="T652">
        <v>0</v>
      </c>
      <c r="U652">
        <v>0</v>
      </c>
      <c r="V652" s="14" t="s">
        <v>708</v>
      </c>
    </row>
    <row r="653" spans="1:22" ht="14.25" customHeight="1" x14ac:dyDescent="0.25">
      <c r="A653" s="48" t="str">
        <f>LEFT(Tabelle1[[#This Row],[Artikel'#]],4)</f>
        <v>F046</v>
      </c>
      <c r="B653" s="46" t="str">
        <f>MID(Tabelle1[[#This Row],[Artikel'#]],5,3)</f>
        <v>138</v>
      </c>
      <c r="C653" s="48" t="str">
        <f>RIGHT(Tabelle1[[#This Row],[Artikel'#]],3)</f>
        <v>628</v>
      </c>
      <c r="D653" s="46">
        <f>IF(Tabelle1[[#This Row],[Winkel2]]=select!$A$2,1,0)</f>
        <v>0</v>
      </c>
      <c r="E65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3" s="46">
        <f>IF(select!$E$16=IF(Tabelle1[[#This Row],[mit Dämpfung]]=1,1,IF(Tabelle1[[#This Row],[ohne Dämpfung]]=1,2,IF(Tabelle1[[#This Row],[ohne Feder]]=1,3,0))),1,0)</f>
        <v>0</v>
      </c>
      <c r="G653" s="46">
        <f>IF(Tabelle1[[#This Row],[Links]]=select!$I$2,1,0)</f>
        <v>1</v>
      </c>
      <c r="H653" s="46">
        <f>IF(IF(Tabelle1[[#This Row],[Anschrauben]]=1,1,IF(Tabelle1[[#This Row],[Einpressen]]=1,2,IF(Tabelle1[[#This Row],[Werkzeuglos]]=1,3,0)))=select!$E$7,1,0)</f>
        <v>0</v>
      </c>
      <c r="I653" s="46">
        <f ca="1">IF(Tabelle1[[#This Row],[Winkel]]+Tabelle1[[#This Row],[Kröpfung]]+Tabelle1[[#This Row],[Däpfung]]+Tabelle1[[#This Row],[Bohrbild]]+Tabelle1[[#This Row],[Scharnierbefestigung]]=5,1,0)</f>
        <v>0</v>
      </c>
      <c r="J653" t="str">
        <f ca="1">Sprache!$A$57</f>
        <v>TIOMOS hinge TT-Click-on</v>
      </c>
      <c r="K653" t="s">
        <v>372</v>
      </c>
      <c r="L653" t="str">
        <f ca="1">Sprache!$A$63</f>
        <v>TIOMOS Click-on hinges</v>
      </c>
      <c r="M653">
        <v>3</v>
      </c>
      <c r="N653" t="s">
        <v>3</v>
      </c>
      <c r="O653">
        <v>95</v>
      </c>
      <c r="P653">
        <v>0</v>
      </c>
      <c r="Q653">
        <v>0</v>
      </c>
      <c r="R653">
        <v>1</v>
      </c>
      <c r="S653">
        <v>1</v>
      </c>
      <c r="T653">
        <v>0</v>
      </c>
      <c r="U653">
        <v>0</v>
      </c>
      <c r="V653" s="14" t="s">
        <v>709</v>
      </c>
    </row>
    <row r="654" spans="1:22" ht="14.25" customHeight="1" x14ac:dyDescent="0.25">
      <c r="A654" s="48" t="str">
        <f>LEFT(Tabelle1[[#This Row],[Artikel'#]],4)</f>
        <v>F046</v>
      </c>
      <c r="B654" s="46" t="str">
        <f>MID(Tabelle1[[#This Row],[Artikel'#]],5,3)</f>
        <v>138</v>
      </c>
      <c r="C654" s="48" t="str">
        <f>RIGHT(Tabelle1[[#This Row],[Artikel'#]],3)</f>
        <v>629</v>
      </c>
      <c r="D654" s="46">
        <f>IF(Tabelle1[[#This Row],[Winkel2]]=select!$A$2,1,0)</f>
        <v>0</v>
      </c>
      <c r="E65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54" s="46">
        <f>IF(select!$E$16=IF(Tabelle1[[#This Row],[mit Dämpfung]]=1,1,IF(Tabelle1[[#This Row],[ohne Dämpfung]]=1,2,IF(Tabelle1[[#This Row],[ohne Feder]]=1,3,0))),1,0)</f>
        <v>0</v>
      </c>
      <c r="G654" s="46">
        <f>IF(Tabelle1[[#This Row],[Links]]=select!$I$2,1,0)</f>
        <v>1</v>
      </c>
      <c r="H654" s="46">
        <f>IF(IF(Tabelle1[[#This Row],[Anschrauben]]=1,1,IF(Tabelle1[[#This Row],[Einpressen]]=1,2,IF(Tabelle1[[#This Row],[Werkzeuglos]]=1,3,0)))=select!$E$7,1,0)</f>
        <v>0</v>
      </c>
      <c r="I654" s="46">
        <f ca="1">IF(Tabelle1[[#This Row],[Winkel]]+Tabelle1[[#This Row],[Kröpfung]]+Tabelle1[[#This Row],[Däpfung]]+Tabelle1[[#This Row],[Bohrbild]]+Tabelle1[[#This Row],[Scharnierbefestigung]]=5,1,0)</f>
        <v>0</v>
      </c>
      <c r="J654" t="str">
        <f ca="1">Sprache!$A$57</f>
        <v>TIOMOS hinge TT-Click-on</v>
      </c>
      <c r="K654" t="s">
        <v>374</v>
      </c>
      <c r="L654" t="str">
        <f ca="1">Sprache!$A$63</f>
        <v>TIOMOS Click-on hinges</v>
      </c>
      <c r="M654">
        <v>9.5</v>
      </c>
      <c r="N654" t="s">
        <v>3</v>
      </c>
      <c r="O654">
        <v>95</v>
      </c>
      <c r="P654">
        <v>0</v>
      </c>
      <c r="Q654">
        <v>0</v>
      </c>
      <c r="R654">
        <v>1</v>
      </c>
      <c r="S654">
        <v>1</v>
      </c>
      <c r="T654">
        <v>0</v>
      </c>
      <c r="U654">
        <v>0</v>
      </c>
      <c r="V654" s="14" t="s">
        <v>710</v>
      </c>
    </row>
    <row r="655" spans="1:22" ht="14.25" customHeight="1" x14ac:dyDescent="0.25">
      <c r="A655" s="48" t="str">
        <f>LEFT(Tabelle1[[#This Row],[Artikel'#]],4)</f>
        <v>F046</v>
      </c>
      <c r="B655" s="46" t="str">
        <f>MID(Tabelle1[[#This Row],[Artikel'#]],5,3)</f>
        <v>138</v>
      </c>
      <c r="C655" s="48" t="str">
        <f>RIGHT(Tabelle1[[#This Row],[Artikel'#]],3)</f>
        <v>630</v>
      </c>
      <c r="D655" s="46">
        <f>IF(Tabelle1[[#This Row],[Winkel2]]=select!$A$2,1,0)</f>
        <v>0</v>
      </c>
      <c r="E65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5" s="46">
        <f>IF(select!$E$16=IF(Tabelle1[[#This Row],[mit Dämpfung]]=1,1,IF(Tabelle1[[#This Row],[ohne Dämpfung]]=1,2,IF(Tabelle1[[#This Row],[ohne Feder]]=1,3,0))),1,0)</f>
        <v>0</v>
      </c>
      <c r="G655" s="46">
        <f>IF(Tabelle1[[#This Row],[Links]]=select!$I$2,1,0)</f>
        <v>1</v>
      </c>
      <c r="H655" s="46">
        <f>IF(IF(Tabelle1[[#This Row],[Anschrauben]]=1,1,IF(Tabelle1[[#This Row],[Einpressen]]=1,2,IF(Tabelle1[[#This Row],[Werkzeuglos]]=1,3,0)))=select!$E$7,1,0)</f>
        <v>0</v>
      </c>
      <c r="I655" s="46">
        <f ca="1">IF(Tabelle1[[#This Row],[Winkel]]+Tabelle1[[#This Row],[Kröpfung]]+Tabelle1[[#This Row],[Däpfung]]+Tabelle1[[#This Row],[Bohrbild]]+Tabelle1[[#This Row],[Scharnierbefestigung]]=5,1,0)</f>
        <v>0</v>
      </c>
      <c r="J655" t="str">
        <f ca="1">Sprache!$A$57</f>
        <v>TIOMOS hinge TT-Click-on</v>
      </c>
      <c r="K655" t="s">
        <v>376</v>
      </c>
      <c r="L655" t="str">
        <f ca="1">Sprache!$A$63</f>
        <v>TIOMOS Click-on hinges</v>
      </c>
      <c r="M655">
        <v>19</v>
      </c>
      <c r="N655" t="s">
        <v>3</v>
      </c>
      <c r="O655">
        <v>95</v>
      </c>
      <c r="P655">
        <v>0</v>
      </c>
      <c r="Q655">
        <v>0</v>
      </c>
      <c r="R655">
        <v>1</v>
      </c>
      <c r="S655">
        <v>1</v>
      </c>
      <c r="T655">
        <v>0</v>
      </c>
      <c r="U655">
        <v>0</v>
      </c>
      <c r="V655" s="14" t="s">
        <v>711</v>
      </c>
    </row>
    <row r="656" spans="1:22" ht="14.25" customHeight="1" x14ac:dyDescent="0.25">
      <c r="A656" s="48" t="str">
        <f>LEFT(Tabelle1[[#This Row],[Artikel'#]],4)</f>
        <v>F046</v>
      </c>
      <c r="B656" s="46" t="str">
        <f>MID(Tabelle1[[#This Row],[Artikel'#]],5,3)</f>
        <v>138</v>
      </c>
      <c r="C656" s="48" t="str">
        <f>RIGHT(Tabelle1[[#This Row],[Artikel'#]],3)</f>
        <v>631</v>
      </c>
      <c r="D656" s="46">
        <f>IF(Tabelle1[[#This Row],[Winkel2]]=select!$A$2,1,0)</f>
        <v>0</v>
      </c>
      <c r="E65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6" s="46">
        <f>IF(select!$E$16=IF(Tabelle1[[#This Row],[mit Dämpfung]]=1,1,IF(Tabelle1[[#This Row],[ohne Dämpfung]]=1,2,IF(Tabelle1[[#This Row],[ohne Feder]]=1,3,0))),1,0)</f>
        <v>0</v>
      </c>
      <c r="G656" s="46">
        <f>IF(Tabelle1[[#This Row],[Links]]=select!$I$2,1,0)</f>
        <v>1</v>
      </c>
      <c r="H656" s="46">
        <f>IF(IF(Tabelle1[[#This Row],[Anschrauben]]=1,1,IF(Tabelle1[[#This Row],[Einpressen]]=1,2,IF(Tabelle1[[#This Row],[Werkzeuglos]]=1,3,0)))=select!$E$7,1,0)</f>
        <v>1</v>
      </c>
      <c r="I656" s="46">
        <f ca="1">IF(Tabelle1[[#This Row],[Winkel]]+Tabelle1[[#This Row],[Kröpfung]]+Tabelle1[[#This Row],[Däpfung]]+Tabelle1[[#This Row],[Bohrbild]]+Tabelle1[[#This Row],[Scharnierbefestigung]]=5,1,0)</f>
        <v>0</v>
      </c>
      <c r="J656" t="str">
        <f ca="1">Sprache!$A$57</f>
        <v>TIOMOS hinge TT-Click-on</v>
      </c>
      <c r="K656" t="str">
        <f ca="1">"95°, B-BB, K00, "&amp;Sprache!A59&amp;", ni"</f>
        <v>95°, B-BB, K00, Dowel, ni</v>
      </c>
      <c r="L656" t="str">
        <f ca="1">Sprache!$A$63</f>
        <v>TIOMOS Click-on hinges</v>
      </c>
      <c r="M656">
        <v>0</v>
      </c>
      <c r="N656" t="s">
        <v>3</v>
      </c>
      <c r="O656">
        <v>95</v>
      </c>
      <c r="P656">
        <v>0</v>
      </c>
      <c r="Q656">
        <v>0</v>
      </c>
      <c r="R656">
        <v>1</v>
      </c>
      <c r="S656">
        <v>0</v>
      </c>
      <c r="T656">
        <v>1</v>
      </c>
      <c r="U656">
        <v>0</v>
      </c>
      <c r="V656" s="14" t="s">
        <v>712</v>
      </c>
    </row>
    <row r="657" spans="1:22" ht="14.25" customHeight="1" x14ac:dyDescent="0.25">
      <c r="A657" s="48" t="str">
        <f>LEFT(Tabelle1[[#This Row],[Artikel'#]],4)</f>
        <v>F046</v>
      </c>
      <c r="B657" s="46" t="str">
        <f>MID(Tabelle1[[#This Row],[Artikel'#]],5,3)</f>
        <v>138</v>
      </c>
      <c r="C657" s="48" t="str">
        <f>RIGHT(Tabelle1[[#This Row],[Artikel'#]],3)</f>
        <v>632</v>
      </c>
      <c r="D657" s="46">
        <f>IF(Tabelle1[[#This Row],[Winkel2]]=select!$A$2,1,0)</f>
        <v>0</v>
      </c>
      <c r="E65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7" s="46">
        <f>IF(select!$E$16=IF(Tabelle1[[#This Row],[mit Dämpfung]]=1,1,IF(Tabelle1[[#This Row],[ohne Dämpfung]]=1,2,IF(Tabelle1[[#This Row],[ohne Feder]]=1,3,0))),1,0)</f>
        <v>0</v>
      </c>
      <c r="G657" s="46">
        <f>IF(Tabelle1[[#This Row],[Links]]=select!$I$2,1,0)</f>
        <v>1</v>
      </c>
      <c r="H657" s="46">
        <f>IF(IF(Tabelle1[[#This Row],[Anschrauben]]=1,1,IF(Tabelle1[[#This Row],[Einpressen]]=1,2,IF(Tabelle1[[#This Row],[Werkzeuglos]]=1,3,0)))=select!$E$7,1,0)</f>
        <v>1</v>
      </c>
      <c r="I657" s="46">
        <f ca="1">IF(Tabelle1[[#This Row],[Winkel]]+Tabelle1[[#This Row],[Kröpfung]]+Tabelle1[[#This Row],[Däpfung]]+Tabelle1[[#This Row],[Bohrbild]]+Tabelle1[[#This Row],[Scharnierbefestigung]]=5,1,0)</f>
        <v>0</v>
      </c>
      <c r="J657" t="str">
        <f ca="1">Sprache!$A$57</f>
        <v>TIOMOS hinge TT-Click-on</v>
      </c>
      <c r="K657" t="str">
        <f ca="1">"95°, B-BB, K03, "&amp;Sprache!A59&amp;", ni"</f>
        <v>95°, B-BB, K03, Dowel, ni</v>
      </c>
      <c r="L657" t="str">
        <f ca="1">Sprache!$A$63</f>
        <v>TIOMOS Click-on hinges</v>
      </c>
      <c r="M657">
        <v>3</v>
      </c>
      <c r="N657" t="s">
        <v>3</v>
      </c>
      <c r="O657">
        <v>95</v>
      </c>
      <c r="P657">
        <v>0</v>
      </c>
      <c r="Q657">
        <v>0</v>
      </c>
      <c r="R657">
        <v>1</v>
      </c>
      <c r="S657">
        <v>0</v>
      </c>
      <c r="T657">
        <v>1</v>
      </c>
      <c r="U657">
        <v>0</v>
      </c>
      <c r="V657" s="14" t="s">
        <v>713</v>
      </c>
    </row>
    <row r="658" spans="1:22" ht="14.25" customHeight="1" x14ac:dyDescent="0.25">
      <c r="A658" s="48" t="str">
        <f>LEFT(Tabelle1[[#This Row],[Artikel'#]],4)</f>
        <v>F046</v>
      </c>
      <c r="B658" s="46" t="str">
        <f>MID(Tabelle1[[#This Row],[Artikel'#]],5,3)</f>
        <v>138</v>
      </c>
      <c r="C658" s="48" t="str">
        <f>RIGHT(Tabelle1[[#This Row],[Artikel'#]],3)</f>
        <v>633</v>
      </c>
      <c r="D658" s="46">
        <f>IF(Tabelle1[[#This Row],[Winkel2]]=select!$A$2,1,0)</f>
        <v>0</v>
      </c>
      <c r="E65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58" s="46">
        <f>IF(select!$E$16=IF(Tabelle1[[#This Row],[mit Dämpfung]]=1,1,IF(Tabelle1[[#This Row],[ohne Dämpfung]]=1,2,IF(Tabelle1[[#This Row],[ohne Feder]]=1,3,0))),1,0)</f>
        <v>0</v>
      </c>
      <c r="G658" s="46">
        <f>IF(Tabelle1[[#This Row],[Links]]=select!$I$2,1,0)</f>
        <v>1</v>
      </c>
      <c r="H658" s="46">
        <f>IF(IF(Tabelle1[[#This Row],[Anschrauben]]=1,1,IF(Tabelle1[[#This Row],[Einpressen]]=1,2,IF(Tabelle1[[#This Row],[Werkzeuglos]]=1,3,0)))=select!$E$7,1,0)</f>
        <v>1</v>
      </c>
      <c r="I658" s="46">
        <f ca="1">IF(Tabelle1[[#This Row],[Winkel]]+Tabelle1[[#This Row],[Kröpfung]]+Tabelle1[[#This Row],[Däpfung]]+Tabelle1[[#This Row],[Bohrbild]]+Tabelle1[[#This Row],[Scharnierbefestigung]]=5,1,0)</f>
        <v>0</v>
      </c>
      <c r="J658" t="str">
        <f ca="1">Sprache!$A$57</f>
        <v>TIOMOS hinge TT-Click-on</v>
      </c>
      <c r="K658" t="str">
        <f ca="1">"95°, B-BB, K95, "&amp;Sprache!A59&amp;", ni"</f>
        <v>95°, B-BB, K95, Dowel, ni</v>
      </c>
      <c r="L658" t="str">
        <f ca="1">Sprache!$A$63</f>
        <v>TIOMOS Click-on hinges</v>
      </c>
      <c r="M658">
        <v>9.5</v>
      </c>
      <c r="N658" t="s">
        <v>3</v>
      </c>
      <c r="O658">
        <v>95</v>
      </c>
      <c r="P658">
        <v>0</v>
      </c>
      <c r="Q658">
        <v>0</v>
      </c>
      <c r="R658">
        <v>1</v>
      </c>
      <c r="S658">
        <v>0</v>
      </c>
      <c r="T658">
        <v>1</v>
      </c>
      <c r="U658">
        <v>0</v>
      </c>
      <c r="V658" s="14" t="s">
        <v>714</v>
      </c>
    </row>
    <row r="659" spans="1:22" ht="14.25" customHeight="1" x14ac:dyDescent="0.25">
      <c r="A659" s="48" t="str">
        <f>LEFT(Tabelle1[[#This Row],[Artikel'#]],4)</f>
        <v>F046</v>
      </c>
      <c r="B659" s="46" t="str">
        <f>MID(Tabelle1[[#This Row],[Artikel'#]],5,3)</f>
        <v>138</v>
      </c>
      <c r="C659" s="48" t="str">
        <f>RIGHT(Tabelle1[[#This Row],[Artikel'#]],3)</f>
        <v>634</v>
      </c>
      <c r="D659" s="46">
        <f>IF(Tabelle1[[#This Row],[Winkel2]]=select!$A$2,1,0)</f>
        <v>0</v>
      </c>
      <c r="E65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59" s="46">
        <f>IF(select!$E$16=IF(Tabelle1[[#This Row],[mit Dämpfung]]=1,1,IF(Tabelle1[[#This Row],[ohne Dämpfung]]=1,2,IF(Tabelle1[[#This Row],[ohne Feder]]=1,3,0))),1,0)</f>
        <v>0</v>
      </c>
      <c r="G659" s="46">
        <f>IF(Tabelle1[[#This Row],[Links]]=select!$I$2,1,0)</f>
        <v>1</v>
      </c>
      <c r="H659" s="46">
        <f>IF(IF(Tabelle1[[#This Row],[Anschrauben]]=1,1,IF(Tabelle1[[#This Row],[Einpressen]]=1,2,IF(Tabelle1[[#This Row],[Werkzeuglos]]=1,3,0)))=select!$E$7,1,0)</f>
        <v>1</v>
      </c>
      <c r="I659" s="46">
        <f ca="1">IF(Tabelle1[[#This Row],[Winkel]]+Tabelle1[[#This Row],[Kröpfung]]+Tabelle1[[#This Row],[Däpfung]]+Tabelle1[[#This Row],[Bohrbild]]+Tabelle1[[#This Row],[Scharnierbefestigung]]=5,1,0)</f>
        <v>0</v>
      </c>
      <c r="J659" t="str">
        <f ca="1">Sprache!$A$57</f>
        <v>TIOMOS hinge TT-Click-on</v>
      </c>
      <c r="K659" t="str">
        <f ca="1">"95°, B-BB, K19, "&amp;Sprache!A59&amp;", ni"</f>
        <v>95°, B-BB, K19, Dowel, ni</v>
      </c>
      <c r="L659" t="str">
        <f ca="1">Sprache!$A$63</f>
        <v>TIOMOS Click-on hinges</v>
      </c>
      <c r="M659">
        <v>19</v>
      </c>
      <c r="N659" t="s">
        <v>3</v>
      </c>
      <c r="O659">
        <v>95</v>
      </c>
      <c r="P659">
        <v>0</v>
      </c>
      <c r="Q659">
        <v>0</v>
      </c>
      <c r="R659">
        <v>1</v>
      </c>
      <c r="S659">
        <v>0</v>
      </c>
      <c r="T659">
        <v>1</v>
      </c>
      <c r="U659">
        <v>0</v>
      </c>
      <c r="V659" s="14" t="s">
        <v>715</v>
      </c>
    </row>
    <row r="660" spans="1:22" ht="14.25" customHeight="1" x14ac:dyDescent="0.25">
      <c r="A660" s="48" t="str">
        <f>LEFT(Tabelle1[[#This Row],[Artikel'#]],4)</f>
        <v>F046</v>
      </c>
      <c r="B660" s="46" t="str">
        <f>MID(Tabelle1[[#This Row],[Artikel'#]],5,3)</f>
        <v>138</v>
      </c>
      <c r="C660" s="48" t="str">
        <f>RIGHT(Tabelle1[[#This Row],[Artikel'#]],3)</f>
        <v>761</v>
      </c>
      <c r="D660" s="46">
        <f>IF(Tabelle1[[#This Row],[Winkel2]]=select!$A$2,1,0)</f>
        <v>1</v>
      </c>
      <c r="E66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0" s="46">
        <f>IF(select!$E$16=IF(Tabelle1[[#This Row],[mit Dämpfung]]=1,1,IF(Tabelle1[[#This Row],[ohne Dämpfung]]=1,2,IF(Tabelle1[[#This Row],[ohne Feder]]=1,3,0))),1,0)</f>
        <v>0</v>
      </c>
      <c r="G660" s="46">
        <f>IF(Tabelle1[[#This Row],[Links]]=select!$I$2,1,0)</f>
        <v>0</v>
      </c>
      <c r="H660" s="46">
        <f>IF(IF(Tabelle1[[#This Row],[Anschrauben]]=1,1,IF(Tabelle1[[#This Row],[Einpressen]]=1,2,IF(Tabelle1[[#This Row],[Werkzeuglos]]=1,3,0)))=select!$E$7,1,0)</f>
        <v>0</v>
      </c>
      <c r="I660" s="46">
        <f ca="1">IF(Tabelle1[[#This Row],[Winkel]]+Tabelle1[[#This Row],[Kröpfung]]+Tabelle1[[#This Row],[Däpfung]]+Tabelle1[[#This Row],[Bohrbild]]+Tabelle1[[#This Row],[Scharnierbefestigung]]=5,1,0)</f>
        <v>0</v>
      </c>
      <c r="J660" t="str">
        <f ca="1">Sprache!$A$57</f>
        <v>TIOMOS hinge TT-Click-on</v>
      </c>
      <c r="K660" t="s">
        <v>382</v>
      </c>
      <c r="L660" t="str">
        <f ca="1">Sprache!$A$63</f>
        <v>TIOMOS Click-on hinges</v>
      </c>
      <c r="M660">
        <v>0</v>
      </c>
      <c r="N660" t="s">
        <v>14</v>
      </c>
      <c r="O660">
        <v>110</v>
      </c>
      <c r="P660">
        <v>0</v>
      </c>
      <c r="Q660">
        <v>0</v>
      </c>
      <c r="R660">
        <v>1</v>
      </c>
      <c r="S660">
        <v>1</v>
      </c>
      <c r="T660">
        <v>0</v>
      </c>
      <c r="U660">
        <v>0</v>
      </c>
      <c r="V660" s="14" t="s">
        <v>716</v>
      </c>
    </row>
    <row r="661" spans="1:22" ht="14.25" customHeight="1" x14ac:dyDescent="0.25">
      <c r="A661" s="48" t="str">
        <f>LEFT(Tabelle1[[#This Row],[Artikel'#]],4)</f>
        <v>F046</v>
      </c>
      <c r="B661" s="46" t="str">
        <f>MID(Tabelle1[[#This Row],[Artikel'#]],5,3)</f>
        <v>138</v>
      </c>
      <c r="C661" s="48" t="str">
        <f>RIGHT(Tabelle1[[#This Row],[Artikel'#]],3)</f>
        <v>762</v>
      </c>
      <c r="D661" s="46">
        <f>IF(Tabelle1[[#This Row],[Winkel2]]=select!$A$2,1,0)</f>
        <v>1</v>
      </c>
      <c r="E66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1" s="46">
        <f>IF(select!$E$16=IF(Tabelle1[[#This Row],[mit Dämpfung]]=1,1,IF(Tabelle1[[#This Row],[ohne Dämpfung]]=1,2,IF(Tabelle1[[#This Row],[ohne Feder]]=1,3,0))),1,0)</f>
        <v>0</v>
      </c>
      <c r="G661" s="46">
        <f>IF(Tabelle1[[#This Row],[Links]]=select!$I$2,1,0)</f>
        <v>0</v>
      </c>
      <c r="H661" s="46">
        <f>IF(IF(Tabelle1[[#This Row],[Anschrauben]]=1,1,IF(Tabelle1[[#This Row],[Einpressen]]=1,2,IF(Tabelle1[[#This Row],[Werkzeuglos]]=1,3,0)))=select!$E$7,1,0)</f>
        <v>0</v>
      </c>
      <c r="I661" s="46">
        <f ca="1">IF(Tabelle1[[#This Row],[Winkel]]+Tabelle1[[#This Row],[Kröpfung]]+Tabelle1[[#This Row],[Däpfung]]+Tabelle1[[#This Row],[Bohrbild]]+Tabelle1[[#This Row],[Scharnierbefestigung]]=5,1,0)</f>
        <v>0</v>
      </c>
      <c r="J661" t="str">
        <f ca="1">Sprache!$A$57</f>
        <v>TIOMOS hinge TT-Click-on</v>
      </c>
      <c r="K661" t="s">
        <v>384</v>
      </c>
      <c r="L661" t="str">
        <f ca="1">Sprache!$A$63</f>
        <v>TIOMOS Click-on hinges</v>
      </c>
      <c r="M661">
        <v>3</v>
      </c>
      <c r="N661" t="s">
        <v>14</v>
      </c>
      <c r="O661">
        <v>110</v>
      </c>
      <c r="P661">
        <v>0</v>
      </c>
      <c r="Q661">
        <v>0</v>
      </c>
      <c r="R661">
        <v>1</v>
      </c>
      <c r="S661">
        <v>1</v>
      </c>
      <c r="T661">
        <v>0</v>
      </c>
      <c r="U661">
        <v>0</v>
      </c>
      <c r="V661" s="14" t="s">
        <v>717</v>
      </c>
    </row>
    <row r="662" spans="1:22" ht="14.25" customHeight="1" x14ac:dyDescent="0.25">
      <c r="A662" s="48" t="str">
        <f>LEFT(Tabelle1[[#This Row],[Artikel'#]],4)</f>
        <v>F046</v>
      </c>
      <c r="B662" s="46" t="str">
        <f>MID(Tabelle1[[#This Row],[Artikel'#]],5,3)</f>
        <v>138</v>
      </c>
      <c r="C662" s="48" t="str">
        <f>RIGHT(Tabelle1[[#This Row],[Artikel'#]],3)</f>
        <v>763</v>
      </c>
      <c r="D662" s="46">
        <f>IF(Tabelle1[[#This Row],[Winkel2]]=select!$A$2,1,0)</f>
        <v>1</v>
      </c>
      <c r="E66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62" s="46">
        <f>IF(select!$E$16=IF(Tabelle1[[#This Row],[mit Dämpfung]]=1,1,IF(Tabelle1[[#This Row],[ohne Dämpfung]]=1,2,IF(Tabelle1[[#This Row],[ohne Feder]]=1,3,0))),1,0)</f>
        <v>0</v>
      </c>
      <c r="G662" s="46">
        <f>IF(Tabelle1[[#This Row],[Links]]=select!$I$2,1,0)</f>
        <v>0</v>
      </c>
      <c r="H662" s="46">
        <f>IF(IF(Tabelle1[[#This Row],[Anschrauben]]=1,1,IF(Tabelle1[[#This Row],[Einpressen]]=1,2,IF(Tabelle1[[#This Row],[Werkzeuglos]]=1,3,0)))=select!$E$7,1,0)</f>
        <v>0</v>
      </c>
      <c r="I662" s="46">
        <f ca="1">IF(Tabelle1[[#This Row],[Winkel]]+Tabelle1[[#This Row],[Kröpfung]]+Tabelle1[[#This Row],[Däpfung]]+Tabelle1[[#This Row],[Bohrbild]]+Tabelle1[[#This Row],[Scharnierbefestigung]]=5,1,0)</f>
        <v>0</v>
      </c>
      <c r="J662" t="str">
        <f ca="1">Sprache!$A$57</f>
        <v>TIOMOS hinge TT-Click-on</v>
      </c>
      <c r="K662" t="s">
        <v>386</v>
      </c>
      <c r="L662" t="str">
        <f ca="1">Sprache!$A$63</f>
        <v>TIOMOS Click-on hinges</v>
      </c>
      <c r="M662">
        <v>9.5</v>
      </c>
      <c r="N662" t="s">
        <v>14</v>
      </c>
      <c r="O662">
        <v>110</v>
      </c>
      <c r="P662">
        <v>0</v>
      </c>
      <c r="Q662">
        <v>0</v>
      </c>
      <c r="R662">
        <v>1</v>
      </c>
      <c r="S662">
        <v>1</v>
      </c>
      <c r="T662">
        <v>0</v>
      </c>
      <c r="U662">
        <v>0</v>
      </c>
      <c r="V662" s="14" t="s">
        <v>718</v>
      </c>
    </row>
    <row r="663" spans="1:22" ht="14.25" customHeight="1" x14ac:dyDescent="0.25">
      <c r="A663" s="48" t="str">
        <f>LEFT(Tabelle1[[#This Row],[Artikel'#]],4)</f>
        <v>F046</v>
      </c>
      <c r="B663" s="46" t="str">
        <f>MID(Tabelle1[[#This Row],[Artikel'#]],5,3)</f>
        <v>138</v>
      </c>
      <c r="C663" s="48" t="str">
        <f>RIGHT(Tabelle1[[#This Row],[Artikel'#]],3)</f>
        <v>764</v>
      </c>
      <c r="D663" s="46">
        <f>IF(Tabelle1[[#This Row],[Winkel2]]=select!$A$2,1,0)</f>
        <v>1</v>
      </c>
      <c r="E66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3" s="46">
        <f>IF(select!$E$16=IF(Tabelle1[[#This Row],[mit Dämpfung]]=1,1,IF(Tabelle1[[#This Row],[ohne Dämpfung]]=1,2,IF(Tabelle1[[#This Row],[ohne Feder]]=1,3,0))),1,0)</f>
        <v>0</v>
      </c>
      <c r="G663" s="46">
        <f>IF(Tabelle1[[#This Row],[Links]]=select!$I$2,1,0)</f>
        <v>0</v>
      </c>
      <c r="H663" s="46">
        <f>IF(IF(Tabelle1[[#This Row],[Anschrauben]]=1,1,IF(Tabelle1[[#This Row],[Einpressen]]=1,2,IF(Tabelle1[[#This Row],[Werkzeuglos]]=1,3,0)))=select!$E$7,1,0)</f>
        <v>0</v>
      </c>
      <c r="I663" s="46">
        <f ca="1">IF(Tabelle1[[#This Row],[Winkel]]+Tabelle1[[#This Row],[Kröpfung]]+Tabelle1[[#This Row],[Däpfung]]+Tabelle1[[#This Row],[Bohrbild]]+Tabelle1[[#This Row],[Scharnierbefestigung]]=5,1,0)</f>
        <v>0</v>
      </c>
      <c r="J663" t="str">
        <f ca="1">Sprache!$A$57</f>
        <v>TIOMOS hinge TT-Click-on</v>
      </c>
      <c r="K663" t="s">
        <v>388</v>
      </c>
      <c r="L663" t="str">
        <f ca="1">Sprache!$A$63</f>
        <v>TIOMOS Click-on hinges</v>
      </c>
      <c r="M663">
        <v>19</v>
      </c>
      <c r="N663" t="s">
        <v>14</v>
      </c>
      <c r="O663">
        <v>110</v>
      </c>
      <c r="P663">
        <v>0</v>
      </c>
      <c r="Q663">
        <v>0</v>
      </c>
      <c r="R663">
        <v>1</v>
      </c>
      <c r="S663">
        <v>1</v>
      </c>
      <c r="T663">
        <v>0</v>
      </c>
      <c r="U663">
        <v>0</v>
      </c>
      <c r="V663" s="14" t="s">
        <v>719</v>
      </c>
    </row>
    <row r="664" spans="1:22" ht="14.25" customHeight="1" x14ac:dyDescent="0.25">
      <c r="A664" s="48" t="str">
        <f>LEFT(Tabelle1[[#This Row],[Artikel'#]],4)</f>
        <v>F046</v>
      </c>
      <c r="B664" s="46" t="str">
        <f>MID(Tabelle1[[#This Row],[Artikel'#]],5,3)</f>
        <v>138</v>
      </c>
      <c r="C664" s="48" t="str">
        <f>RIGHT(Tabelle1[[#This Row],[Artikel'#]],3)</f>
        <v>765</v>
      </c>
      <c r="D664" s="46">
        <f>IF(Tabelle1[[#This Row],[Winkel2]]=select!$A$2,1,0)</f>
        <v>1</v>
      </c>
      <c r="E66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4" s="46">
        <f>IF(select!$E$16=IF(Tabelle1[[#This Row],[mit Dämpfung]]=1,1,IF(Tabelle1[[#This Row],[ohne Dämpfung]]=1,2,IF(Tabelle1[[#This Row],[ohne Feder]]=1,3,0))),1,0)</f>
        <v>0</v>
      </c>
      <c r="G664" s="46">
        <f>IF(Tabelle1[[#This Row],[Links]]=select!$I$2,1,0)</f>
        <v>0</v>
      </c>
      <c r="H664" s="46">
        <f>IF(IF(Tabelle1[[#This Row],[Anschrauben]]=1,1,IF(Tabelle1[[#This Row],[Einpressen]]=1,2,IF(Tabelle1[[#This Row],[Werkzeuglos]]=1,3,0)))=select!$E$7,1,0)</f>
        <v>1</v>
      </c>
      <c r="I664" s="46">
        <f ca="1">IF(Tabelle1[[#This Row],[Winkel]]+Tabelle1[[#This Row],[Kröpfung]]+Tabelle1[[#This Row],[Däpfung]]+Tabelle1[[#This Row],[Bohrbild]]+Tabelle1[[#This Row],[Scharnierbefestigung]]=5,1,0)</f>
        <v>0</v>
      </c>
      <c r="J664" t="str">
        <f ca="1">Sprache!$A$57</f>
        <v>TIOMOS hinge TT-Click-on</v>
      </c>
      <c r="K664" t="str">
        <f ca="1">"110°, H-BB, K00, "&amp;Sprache!A59&amp;", ni"</f>
        <v>110°, H-BB, K00, Dowel, ni</v>
      </c>
      <c r="L664" t="str">
        <f ca="1">Sprache!$A$63</f>
        <v>TIOMOS Click-on hinges</v>
      </c>
      <c r="M664">
        <v>0</v>
      </c>
      <c r="N664" t="s">
        <v>14</v>
      </c>
      <c r="O664">
        <v>110</v>
      </c>
      <c r="P664">
        <v>0</v>
      </c>
      <c r="Q664">
        <v>0</v>
      </c>
      <c r="R664">
        <v>1</v>
      </c>
      <c r="S664">
        <v>0</v>
      </c>
      <c r="T664">
        <v>1</v>
      </c>
      <c r="U664">
        <v>0</v>
      </c>
      <c r="V664" s="14" t="s">
        <v>720</v>
      </c>
    </row>
    <row r="665" spans="1:22" ht="14.25" customHeight="1" x14ac:dyDescent="0.25">
      <c r="A665" s="48" t="str">
        <f>LEFT(Tabelle1[[#This Row],[Artikel'#]],4)</f>
        <v>F046</v>
      </c>
      <c r="B665" s="46" t="str">
        <f>MID(Tabelle1[[#This Row],[Artikel'#]],5,3)</f>
        <v>138</v>
      </c>
      <c r="C665" s="48" t="str">
        <f>RIGHT(Tabelle1[[#This Row],[Artikel'#]],3)</f>
        <v>766</v>
      </c>
      <c r="D665" s="46">
        <f>IF(Tabelle1[[#This Row],[Winkel2]]=select!$A$2,1,0)</f>
        <v>1</v>
      </c>
      <c r="E66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5" s="46">
        <f>IF(select!$E$16=IF(Tabelle1[[#This Row],[mit Dämpfung]]=1,1,IF(Tabelle1[[#This Row],[ohne Dämpfung]]=1,2,IF(Tabelle1[[#This Row],[ohne Feder]]=1,3,0))),1,0)</f>
        <v>0</v>
      </c>
      <c r="G665" s="46">
        <f>IF(Tabelle1[[#This Row],[Links]]=select!$I$2,1,0)</f>
        <v>0</v>
      </c>
      <c r="H665" s="46">
        <f>IF(IF(Tabelle1[[#This Row],[Anschrauben]]=1,1,IF(Tabelle1[[#This Row],[Einpressen]]=1,2,IF(Tabelle1[[#This Row],[Werkzeuglos]]=1,3,0)))=select!$E$7,1,0)</f>
        <v>1</v>
      </c>
      <c r="I665" s="46">
        <f ca="1">IF(Tabelle1[[#This Row],[Winkel]]+Tabelle1[[#This Row],[Kröpfung]]+Tabelle1[[#This Row],[Däpfung]]+Tabelle1[[#This Row],[Bohrbild]]+Tabelle1[[#This Row],[Scharnierbefestigung]]=5,1,0)</f>
        <v>0</v>
      </c>
      <c r="J665" t="str">
        <f ca="1">Sprache!$A$57</f>
        <v>TIOMOS hinge TT-Click-on</v>
      </c>
      <c r="K665" t="str">
        <f ca="1">"110°, H-BB, K03, "&amp;Sprache!A59&amp;", ni"</f>
        <v>110°, H-BB, K03, Dowel, ni</v>
      </c>
      <c r="L665" t="str">
        <f ca="1">Sprache!$A$63</f>
        <v>TIOMOS Click-on hinges</v>
      </c>
      <c r="M665">
        <v>3</v>
      </c>
      <c r="N665" t="s">
        <v>14</v>
      </c>
      <c r="O665">
        <v>110</v>
      </c>
      <c r="P665">
        <v>0</v>
      </c>
      <c r="Q665">
        <v>0</v>
      </c>
      <c r="R665">
        <v>1</v>
      </c>
      <c r="S665">
        <v>0</v>
      </c>
      <c r="T665">
        <v>1</v>
      </c>
      <c r="U665">
        <v>0</v>
      </c>
      <c r="V665" s="14" t="s">
        <v>721</v>
      </c>
    </row>
    <row r="666" spans="1:22" ht="14.25" customHeight="1" x14ac:dyDescent="0.25">
      <c r="A666" s="48" t="str">
        <f>LEFT(Tabelle1[[#This Row],[Artikel'#]],4)</f>
        <v>F046</v>
      </c>
      <c r="B666" s="46" t="str">
        <f>MID(Tabelle1[[#This Row],[Artikel'#]],5,3)</f>
        <v>138</v>
      </c>
      <c r="C666" s="48" t="str">
        <f>RIGHT(Tabelle1[[#This Row],[Artikel'#]],3)</f>
        <v>767</v>
      </c>
      <c r="D666" s="46">
        <f>IF(Tabelle1[[#This Row],[Winkel2]]=select!$A$2,1,0)</f>
        <v>1</v>
      </c>
      <c r="E66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66" s="46">
        <f>IF(select!$E$16=IF(Tabelle1[[#This Row],[mit Dämpfung]]=1,1,IF(Tabelle1[[#This Row],[ohne Dämpfung]]=1,2,IF(Tabelle1[[#This Row],[ohne Feder]]=1,3,0))),1,0)</f>
        <v>0</v>
      </c>
      <c r="G666" s="46">
        <f>IF(Tabelle1[[#This Row],[Links]]=select!$I$2,1,0)</f>
        <v>0</v>
      </c>
      <c r="H666" s="46">
        <f>IF(IF(Tabelle1[[#This Row],[Anschrauben]]=1,1,IF(Tabelle1[[#This Row],[Einpressen]]=1,2,IF(Tabelle1[[#This Row],[Werkzeuglos]]=1,3,0)))=select!$E$7,1,0)</f>
        <v>1</v>
      </c>
      <c r="I666" s="46">
        <f ca="1">IF(Tabelle1[[#This Row],[Winkel]]+Tabelle1[[#This Row],[Kröpfung]]+Tabelle1[[#This Row],[Däpfung]]+Tabelle1[[#This Row],[Bohrbild]]+Tabelle1[[#This Row],[Scharnierbefestigung]]=5,1,0)</f>
        <v>0</v>
      </c>
      <c r="J666" t="str">
        <f ca="1">Sprache!$A$57</f>
        <v>TIOMOS hinge TT-Click-on</v>
      </c>
      <c r="K666" t="str">
        <f ca="1">"110°, H-BB, K95, "&amp;Sprache!A59&amp;", ni"</f>
        <v>110°, H-BB, K95, Dowel, ni</v>
      </c>
      <c r="L666" t="str">
        <f ca="1">Sprache!$A$63</f>
        <v>TIOMOS Click-on hinges</v>
      </c>
      <c r="M666">
        <v>9.5</v>
      </c>
      <c r="N666" t="s">
        <v>14</v>
      </c>
      <c r="O666">
        <v>110</v>
      </c>
      <c r="P666">
        <v>0</v>
      </c>
      <c r="Q666">
        <v>0</v>
      </c>
      <c r="R666">
        <v>1</v>
      </c>
      <c r="S666">
        <v>0</v>
      </c>
      <c r="T666">
        <v>1</v>
      </c>
      <c r="U666">
        <v>0</v>
      </c>
      <c r="V666" s="14" t="s">
        <v>722</v>
      </c>
    </row>
    <row r="667" spans="1:22" ht="14.25" customHeight="1" x14ac:dyDescent="0.25">
      <c r="A667" s="48" t="str">
        <f>LEFT(Tabelle1[[#This Row],[Artikel'#]],4)</f>
        <v>F046</v>
      </c>
      <c r="B667" s="46" t="str">
        <f>MID(Tabelle1[[#This Row],[Artikel'#]],5,3)</f>
        <v>138</v>
      </c>
      <c r="C667" s="48" t="str">
        <f>RIGHT(Tabelle1[[#This Row],[Artikel'#]],3)</f>
        <v>768</v>
      </c>
      <c r="D667" s="46">
        <f>IF(Tabelle1[[#This Row],[Winkel2]]=select!$A$2,1,0)</f>
        <v>1</v>
      </c>
      <c r="E66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7" s="46">
        <f>IF(select!$E$16=IF(Tabelle1[[#This Row],[mit Dämpfung]]=1,1,IF(Tabelle1[[#This Row],[ohne Dämpfung]]=1,2,IF(Tabelle1[[#This Row],[ohne Feder]]=1,3,0))),1,0)</f>
        <v>0</v>
      </c>
      <c r="G667" s="46">
        <f>IF(Tabelle1[[#This Row],[Links]]=select!$I$2,1,0)</f>
        <v>0</v>
      </c>
      <c r="H667" s="46">
        <f>IF(IF(Tabelle1[[#This Row],[Anschrauben]]=1,1,IF(Tabelle1[[#This Row],[Einpressen]]=1,2,IF(Tabelle1[[#This Row],[Werkzeuglos]]=1,3,0)))=select!$E$7,1,0)</f>
        <v>1</v>
      </c>
      <c r="I667" s="46">
        <f ca="1">IF(Tabelle1[[#This Row],[Winkel]]+Tabelle1[[#This Row],[Kröpfung]]+Tabelle1[[#This Row],[Däpfung]]+Tabelle1[[#This Row],[Bohrbild]]+Tabelle1[[#This Row],[Scharnierbefestigung]]=5,1,0)</f>
        <v>0</v>
      </c>
      <c r="J667" t="str">
        <f ca="1">Sprache!$A$57</f>
        <v>TIOMOS hinge TT-Click-on</v>
      </c>
      <c r="K667" t="str">
        <f ca="1">"110°, H-BB, K19, "&amp;Sprache!A59&amp;", ni"</f>
        <v>110°, H-BB, K19, Dowel, ni</v>
      </c>
      <c r="L667" t="str">
        <f ca="1">Sprache!$A$63</f>
        <v>TIOMOS Click-on hinges</v>
      </c>
      <c r="M667">
        <v>19</v>
      </c>
      <c r="N667" t="s">
        <v>14</v>
      </c>
      <c r="O667">
        <v>110</v>
      </c>
      <c r="P667">
        <v>0</v>
      </c>
      <c r="Q667">
        <v>0</v>
      </c>
      <c r="R667">
        <v>1</v>
      </c>
      <c r="S667">
        <v>0</v>
      </c>
      <c r="T667">
        <v>1</v>
      </c>
      <c r="U667">
        <v>0</v>
      </c>
      <c r="V667" s="14" t="s">
        <v>723</v>
      </c>
    </row>
    <row r="668" spans="1:22" ht="14.25" customHeight="1" x14ac:dyDescent="0.25">
      <c r="A668" s="48" t="str">
        <f>LEFT(Tabelle1[[#This Row],[Artikel'#]],4)</f>
        <v>F046</v>
      </c>
      <c r="B668" s="46" t="str">
        <f>MID(Tabelle1[[#This Row],[Artikel'#]],5,3)</f>
        <v>138</v>
      </c>
      <c r="C668" s="48" t="str">
        <f>RIGHT(Tabelle1[[#This Row],[Artikel'#]],3)</f>
        <v>789</v>
      </c>
      <c r="D668" s="46">
        <f>IF(Tabelle1[[#This Row],[Winkel2]]=select!$A$2,1,0)</f>
        <v>0</v>
      </c>
      <c r="E66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8" s="46">
        <f>IF(select!$E$16=IF(Tabelle1[[#This Row],[mit Dämpfung]]=1,1,IF(Tabelle1[[#This Row],[ohne Dämpfung]]=1,2,IF(Tabelle1[[#This Row],[ohne Feder]]=1,3,0))),1,0)</f>
        <v>0</v>
      </c>
      <c r="G668" s="46">
        <f>IF(Tabelle1[[#This Row],[Links]]=select!$I$2,1,0)</f>
        <v>0</v>
      </c>
      <c r="H668" s="46">
        <f>IF(IF(Tabelle1[[#This Row],[Anschrauben]]=1,1,IF(Tabelle1[[#This Row],[Einpressen]]=1,2,IF(Tabelle1[[#This Row],[Werkzeuglos]]=1,3,0)))=select!$E$7,1,0)</f>
        <v>0</v>
      </c>
      <c r="I668" s="46">
        <f ca="1">IF(Tabelle1[[#This Row],[Winkel]]+Tabelle1[[#This Row],[Kröpfung]]+Tabelle1[[#This Row],[Däpfung]]+Tabelle1[[#This Row],[Bohrbild]]+Tabelle1[[#This Row],[Scharnierbefestigung]]=5,1,0)</f>
        <v>0</v>
      </c>
      <c r="J668" t="str">
        <f ca="1">Sprache!$A$57</f>
        <v>TIOMOS hinge TT-Click-on</v>
      </c>
      <c r="K668" t="s">
        <v>394</v>
      </c>
      <c r="L668" t="str">
        <f ca="1">Sprache!$A$63</f>
        <v>TIOMOS Click-on hinges</v>
      </c>
      <c r="M668">
        <v>0</v>
      </c>
      <c r="N668" t="s">
        <v>14</v>
      </c>
      <c r="O668">
        <v>120</v>
      </c>
      <c r="P668">
        <v>0</v>
      </c>
      <c r="Q668">
        <v>0</v>
      </c>
      <c r="R668">
        <v>1</v>
      </c>
      <c r="S668">
        <v>1</v>
      </c>
      <c r="T668">
        <v>0</v>
      </c>
      <c r="U668">
        <v>0</v>
      </c>
      <c r="V668" s="14" t="s">
        <v>724</v>
      </c>
    </row>
    <row r="669" spans="1:22" ht="14.25" customHeight="1" x14ac:dyDescent="0.25">
      <c r="A669" s="48" t="str">
        <f>LEFT(Tabelle1[[#This Row],[Artikel'#]],4)</f>
        <v>F046</v>
      </c>
      <c r="B669" s="46" t="str">
        <f>MID(Tabelle1[[#This Row],[Artikel'#]],5,3)</f>
        <v>138</v>
      </c>
      <c r="C669" s="48" t="str">
        <f>RIGHT(Tabelle1[[#This Row],[Artikel'#]],3)</f>
        <v>790</v>
      </c>
      <c r="D669" s="46">
        <f>IF(Tabelle1[[#This Row],[Winkel2]]=select!$A$2,1,0)</f>
        <v>0</v>
      </c>
      <c r="E66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69" s="46">
        <f>IF(select!$E$16=IF(Tabelle1[[#This Row],[mit Dämpfung]]=1,1,IF(Tabelle1[[#This Row],[ohne Dämpfung]]=1,2,IF(Tabelle1[[#This Row],[ohne Feder]]=1,3,0))),1,0)</f>
        <v>0</v>
      </c>
      <c r="G669" s="46">
        <f>IF(Tabelle1[[#This Row],[Links]]=select!$I$2,1,0)</f>
        <v>0</v>
      </c>
      <c r="H669" s="46">
        <f>IF(IF(Tabelle1[[#This Row],[Anschrauben]]=1,1,IF(Tabelle1[[#This Row],[Einpressen]]=1,2,IF(Tabelle1[[#This Row],[Werkzeuglos]]=1,3,0)))=select!$E$7,1,0)</f>
        <v>0</v>
      </c>
      <c r="I669" s="46">
        <f ca="1">IF(Tabelle1[[#This Row],[Winkel]]+Tabelle1[[#This Row],[Kröpfung]]+Tabelle1[[#This Row],[Däpfung]]+Tabelle1[[#This Row],[Bohrbild]]+Tabelle1[[#This Row],[Scharnierbefestigung]]=5,1,0)</f>
        <v>0</v>
      </c>
      <c r="J669" t="str">
        <f ca="1">Sprache!$A$57</f>
        <v>TIOMOS hinge TT-Click-on</v>
      </c>
      <c r="K669" t="s">
        <v>396</v>
      </c>
      <c r="L669" t="str">
        <f ca="1">Sprache!$A$63</f>
        <v>TIOMOS Click-on hinges</v>
      </c>
      <c r="M669">
        <v>3</v>
      </c>
      <c r="N669" t="s">
        <v>14</v>
      </c>
      <c r="O669">
        <v>120</v>
      </c>
      <c r="P669">
        <v>0</v>
      </c>
      <c r="Q669">
        <v>0</v>
      </c>
      <c r="R669">
        <v>1</v>
      </c>
      <c r="S669">
        <v>1</v>
      </c>
      <c r="T669">
        <v>0</v>
      </c>
      <c r="U669">
        <v>0</v>
      </c>
      <c r="V669" s="14" t="s">
        <v>725</v>
      </c>
    </row>
    <row r="670" spans="1:22" ht="14.25" customHeight="1" x14ac:dyDescent="0.25">
      <c r="A670" s="48" t="str">
        <f>LEFT(Tabelle1[[#This Row],[Artikel'#]],4)</f>
        <v>F046</v>
      </c>
      <c r="B670" s="46" t="str">
        <f>MID(Tabelle1[[#This Row],[Artikel'#]],5,3)</f>
        <v>138</v>
      </c>
      <c r="C670" s="48" t="str">
        <f>RIGHT(Tabelle1[[#This Row],[Artikel'#]],3)</f>
        <v>791</v>
      </c>
      <c r="D670" s="46">
        <f>IF(Tabelle1[[#This Row],[Winkel2]]=select!$A$2,1,0)</f>
        <v>0</v>
      </c>
      <c r="E67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70" s="46">
        <f>IF(select!$E$16=IF(Tabelle1[[#This Row],[mit Dämpfung]]=1,1,IF(Tabelle1[[#This Row],[ohne Dämpfung]]=1,2,IF(Tabelle1[[#This Row],[ohne Feder]]=1,3,0))),1,0)</f>
        <v>0</v>
      </c>
      <c r="G670" s="46">
        <f>IF(Tabelle1[[#This Row],[Links]]=select!$I$2,1,0)</f>
        <v>0</v>
      </c>
      <c r="H670" s="46">
        <f>IF(IF(Tabelle1[[#This Row],[Anschrauben]]=1,1,IF(Tabelle1[[#This Row],[Einpressen]]=1,2,IF(Tabelle1[[#This Row],[Werkzeuglos]]=1,3,0)))=select!$E$7,1,0)</f>
        <v>0</v>
      </c>
      <c r="I670" s="46">
        <f ca="1">IF(Tabelle1[[#This Row],[Winkel]]+Tabelle1[[#This Row],[Kröpfung]]+Tabelle1[[#This Row],[Däpfung]]+Tabelle1[[#This Row],[Bohrbild]]+Tabelle1[[#This Row],[Scharnierbefestigung]]=5,1,0)</f>
        <v>0</v>
      </c>
      <c r="J670" t="str">
        <f ca="1">Sprache!$A$57</f>
        <v>TIOMOS hinge TT-Click-on</v>
      </c>
      <c r="K670" t="s">
        <v>398</v>
      </c>
      <c r="L670" t="str">
        <f ca="1">Sprache!$A$63</f>
        <v>TIOMOS Click-on hinges</v>
      </c>
      <c r="M670">
        <v>9.5</v>
      </c>
      <c r="N670" t="s">
        <v>14</v>
      </c>
      <c r="O670">
        <v>120</v>
      </c>
      <c r="P670">
        <v>0</v>
      </c>
      <c r="Q670">
        <v>0</v>
      </c>
      <c r="R670">
        <v>1</v>
      </c>
      <c r="S670">
        <v>1</v>
      </c>
      <c r="T670">
        <v>0</v>
      </c>
      <c r="U670">
        <v>0</v>
      </c>
      <c r="V670" s="14" t="s">
        <v>726</v>
      </c>
    </row>
    <row r="671" spans="1:22" ht="14.25" customHeight="1" x14ac:dyDescent="0.25">
      <c r="A671" s="48" t="str">
        <f>LEFT(Tabelle1[[#This Row],[Artikel'#]],4)</f>
        <v>F046</v>
      </c>
      <c r="B671" s="46" t="str">
        <f>MID(Tabelle1[[#This Row],[Artikel'#]],5,3)</f>
        <v>138</v>
      </c>
      <c r="C671" s="48" t="str">
        <f>RIGHT(Tabelle1[[#This Row],[Artikel'#]],3)</f>
        <v>793</v>
      </c>
      <c r="D671" s="46">
        <f>IF(Tabelle1[[#This Row],[Winkel2]]=select!$A$2,1,0)</f>
        <v>0</v>
      </c>
      <c r="E67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1" s="46">
        <f>IF(select!$E$16=IF(Tabelle1[[#This Row],[mit Dämpfung]]=1,1,IF(Tabelle1[[#This Row],[ohne Dämpfung]]=1,2,IF(Tabelle1[[#This Row],[ohne Feder]]=1,3,0))),1,0)</f>
        <v>0</v>
      </c>
      <c r="G671" s="46">
        <f>IF(Tabelle1[[#This Row],[Links]]=select!$I$2,1,0)</f>
        <v>0</v>
      </c>
      <c r="H671" s="46">
        <f>IF(IF(Tabelle1[[#This Row],[Anschrauben]]=1,1,IF(Tabelle1[[#This Row],[Einpressen]]=1,2,IF(Tabelle1[[#This Row],[Werkzeuglos]]=1,3,0)))=select!$E$7,1,0)</f>
        <v>1</v>
      </c>
      <c r="I671" s="46">
        <f ca="1">IF(Tabelle1[[#This Row],[Winkel]]+Tabelle1[[#This Row],[Kröpfung]]+Tabelle1[[#This Row],[Däpfung]]+Tabelle1[[#This Row],[Bohrbild]]+Tabelle1[[#This Row],[Scharnierbefestigung]]=5,1,0)</f>
        <v>0</v>
      </c>
      <c r="J671" t="str">
        <f ca="1">Sprache!$A$57</f>
        <v>TIOMOS hinge TT-Click-on</v>
      </c>
      <c r="K671" t="str">
        <f ca="1">"120°, H-BB, K00, "&amp;Sprache!A59&amp;", ni"</f>
        <v>120°, H-BB, K00, Dowel, ni</v>
      </c>
      <c r="L671" t="str">
        <f ca="1">Sprache!$A$63</f>
        <v>TIOMOS Click-on hinges</v>
      </c>
      <c r="M671">
        <v>0</v>
      </c>
      <c r="N671" t="s">
        <v>14</v>
      </c>
      <c r="O671">
        <v>120</v>
      </c>
      <c r="P671">
        <v>0</v>
      </c>
      <c r="Q671">
        <v>0</v>
      </c>
      <c r="R671">
        <v>1</v>
      </c>
      <c r="S671">
        <v>0</v>
      </c>
      <c r="T671">
        <v>1</v>
      </c>
      <c r="U671">
        <v>0</v>
      </c>
      <c r="V671" s="14" t="s">
        <v>727</v>
      </c>
    </row>
    <row r="672" spans="1:22" ht="14.25" customHeight="1" x14ac:dyDescent="0.25">
      <c r="A672" s="48" t="str">
        <f>LEFT(Tabelle1[[#This Row],[Artikel'#]],4)</f>
        <v>F046</v>
      </c>
      <c r="B672" s="46" t="str">
        <f>MID(Tabelle1[[#This Row],[Artikel'#]],5,3)</f>
        <v>138</v>
      </c>
      <c r="C672" s="48" t="str">
        <f>RIGHT(Tabelle1[[#This Row],[Artikel'#]],3)</f>
        <v>794</v>
      </c>
      <c r="D672" s="46">
        <f>IF(Tabelle1[[#This Row],[Winkel2]]=select!$A$2,1,0)</f>
        <v>0</v>
      </c>
      <c r="E67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2" s="46">
        <f>IF(select!$E$16=IF(Tabelle1[[#This Row],[mit Dämpfung]]=1,1,IF(Tabelle1[[#This Row],[ohne Dämpfung]]=1,2,IF(Tabelle1[[#This Row],[ohne Feder]]=1,3,0))),1,0)</f>
        <v>0</v>
      </c>
      <c r="G672" s="46">
        <f>IF(Tabelle1[[#This Row],[Links]]=select!$I$2,1,0)</f>
        <v>0</v>
      </c>
      <c r="H672" s="46">
        <f>IF(IF(Tabelle1[[#This Row],[Anschrauben]]=1,1,IF(Tabelle1[[#This Row],[Einpressen]]=1,2,IF(Tabelle1[[#This Row],[Werkzeuglos]]=1,3,0)))=select!$E$7,1,0)</f>
        <v>1</v>
      </c>
      <c r="I672" s="46">
        <f ca="1">IF(Tabelle1[[#This Row],[Winkel]]+Tabelle1[[#This Row],[Kröpfung]]+Tabelle1[[#This Row],[Däpfung]]+Tabelle1[[#This Row],[Bohrbild]]+Tabelle1[[#This Row],[Scharnierbefestigung]]=5,1,0)</f>
        <v>0</v>
      </c>
      <c r="J672" t="str">
        <f ca="1">Sprache!$A$57</f>
        <v>TIOMOS hinge TT-Click-on</v>
      </c>
      <c r="K672" t="str">
        <f ca="1">"120°, H-BB, K03, "&amp;Sprache!A59&amp;", ni"</f>
        <v>120°, H-BB, K03, Dowel, ni</v>
      </c>
      <c r="L672" t="str">
        <f ca="1">Sprache!$A$63</f>
        <v>TIOMOS Click-on hinges</v>
      </c>
      <c r="M672">
        <v>3</v>
      </c>
      <c r="N672" t="s">
        <v>14</v>
      </c>
      <c r="O672">
        <v>120</v>
      </c>
      <c r="P672">
        <v>0</v>
      </c>
      <c r="Q672">
        <v>0</v>
      </c>
      <c r="R672">
        <v>1</v>
      </c>
      <c r="S672">
        <v>0</v>
      </c>
      <c r="T672">
        <v>1</v>
      </c>
      <c r="U672">
        <v>0</v>
      </c>
      <c r="V672" s="14" t="s">
        <v>728</v>
      </c>
    </row>
    <row r="673" spans="1:22" ht="14.25" customHeight="1" x14ac:dyDescent="0.25">
      <c r="A673" s="48" t="str">
        <f>LEFT(Tabelle1[[#This Row],[Artikel'#]],4)</f>
        <v>F046</v>
      </c>
      <c r="B673" s="46" t="str">
        <f>MID(Tabelle1[[#This Row],[Artikel'#]],5,3)</f>
        <v>138</v>
      </c>
      <c r="C673" s="48" t="str">
        <f>RIGHT(Tabelle1[[#This Row],[Artikel'#]],3)</f>
        <v>795</v>
      </c>
      <c r="D673" s="46">
        <f>IF(Tabelle1[[#This Row],[Winkel2]]=select!$A$2,1,0)</f>
        <v>0</v>
      </c>
      <c r="E67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73" s="46">
        <f>IF(select!$E$16=IF(Tabelle1[[#This Row],[mit Dämpfung]]=1,1,IF(Tabelle1[[#This Row],[ohne Dämpfung]]=1,2,IF(Tabelle1[[#This Row],[ohne Feder]]=1,3,0))),1,0)</f>
        <v>0</v>
      </c>
      <c r="G673" s="46">
        <f>IF(Tabelle1[[#This Row],[Links]]=select!$I$2,1,0)</f>
        <v>0</v>
      </c>
      <c r="H673" s="46">
        <f>IF(IF(Tabelle1[[#This Row],[Anschrauben]]=1,1,IF(Tabelle1[[#This Row],[Einpressen]]=1,2,IF(Tabelle1[[#This Row],[Werkzeuglos]]=1,3,0)))=select!$E$7,1,0)</f>
        <v>1</v>
      </c>
      <c r="I673" s="46">
        <f ca="1">IF(Tabelle1[[#This Row],[Winkel]]+Tabelle1[[#This Row],[Kröpfung]]+Tabelle1[[#This Row],[Däpfung]]+Tabelle1[[#This Row],[Bohrbild]]+Tabelle1[[#This Row],[Scharnierbefestigung]]=5,1,0)</f>
        <v>0</v>
      </c>
      <c r="J673" t="str">
        <f ca="1">Sprache!$A$57</f>
        <v>TIOMOS hinge TT-Click-on</v>
      </c>
      <c r="K673" t="str">
        <f ca="1">"120°, H-BB, K95, "&amp;Sprache!A59&amp;", ni"</f>
        <v>120°, H-BB, K95, Dowel, ni</v>
      </c>
      <c r="L673" t="str">
        <f ca="1">Sprache!$A$63</f>
        <v>TIOMOS Click-on hinges</v>
      </c>
      <c r="M673">
        <v>9.5</v>
      </c>
      <c r="N673" t="s">
        <v>14</v>
      </c>
      <c r="O673">
        <v>120</v>
      </c>
      <c r="P673">
        <v>0</v>
      </c>
      <c r="Q673">
        <v>0</v>
      </c>
      <c r="R673">
        <v>1</v>
      </c>
      <c r="S673">
        <v>0</v>
      </c>
      <c r="T673">
        <v>1</v>
      </c>
      <c r="U673">
        <v>0</v>
      </c>
      <c r="V673" s="14" t="s">
        <v>729</v>
      </c>
    </row>
    <row r="674" spans="1:22" ht="14.25" customHeight="1" x14ac:dyDescent="0.25">
      <c r="A674" s="48" t="str">
        <f>LEFT(Tabelle1[[#This Row],[Artikel'#]],4)</f>
        <v>F046</v>
      </c>
      <c r="B674" s="46" t="str">
        <f>MID(Tabelle1[[#This Row],[Artikel'#]],5,3)</f>
        <v>138</v>
      </c>
      <c r="C674" s="48" t="str">
        <f>RIGHT(Tabelle1[[#This Row],[Artikel'#]],3)</f>
        <v>803</v>
      </c>
      <c r="D674" s="46">
        <f>IF(Tabelle1[[#This Row],[Winkel2]]=select!$A$2,1,0)</f>
        <v>0</v>
      </c>
      <c r="E67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4" s="46">
        <f>IF(select!$E$16=IF(Tabelle1[[#This Row],[mit Dämpfung]]=1,1,IF(Tabelle1[[#This Row],[ohne Dämpfung]]=1,2,IF(Tabelle1[[#This Row],[ohne Feder]]=1,3,0))),1,0)</f>
        <v>0</v>
      </c>
      <c r="G674" s="46">
        <f>IF(Tabelle1[[#This Row],[Links]]=select!$I$2,1,0)</f>
        <v>0</v>
      </c>
      <c r="H674" s="46">
        <f>IF(IF(Tabelle1[[#This Row],[Anschrauben]]=1,1,IF(Tabelle1[[#This Row],[Einpressen]]=1,2,IF(Tabelle1[[#This Row],[Werkzeuglos]]=1,3,0)))=select!$E$7,1,0)</f>
        <v>0</v>
      </c>
      <c r="I674" s="46">
        <f ca="1">IF(Tabelle1[[#This Row],[Winkel]]+Tabelle1[[#This Row],[Kröpfung]]+Tabelle1[[#This Row],[Däpfung]]+Tabelle1[[#This Row],[Bohrbild]]+Tabelle1[[#This Row],[Scharnierbefestigung]]=5,1,0)</f>
        <v>0</v>
      </c>
      <c r="J674" t="str">
        <f ca="1">Sprache!$A$57</f>
        <v>TIOMOS hinge TT-Click-on</v>
      </c>
      <c r="K674" t="s">
        <v>403</v>
      </c>
      <c r="L674" t="str">
        <f ca="1">Sprache!$A$63</f>
        <v>TIOMOS Click-on hinges</v>
      </c>
      <c r="M674">
        <v>0</v>
      </c>
      <c r="N674" s="13" t="s">
        <v>14</v>
      </c>
      <c r="O674">
        <v>160</v>
      </c>
      <c r="P674">
        <v>0</v>
      </c>
      <c r="Q674">
        <v>0</v>
      </c>
      <c r="R674">
        <v>1</v>
      </c>
      <c r="S674">
        <v>1</v>
      </c>
      <c r="T674">
        <v>0</v>
      </c>
      <c r="U674">
        <v>0</v>
      </c>
      <c r="V674" s="14" t="s">
        <v>730</v>
      </c>
    </row>
    <row r="675" spans="1:22" ht="14.25" customHeight="1" x14ac:dyDescent="0.25">
      <c r="A675" s="48" t="str">
        <f>LEFT(Tabelle1[[#This Row],[Artikel'#]],4)</f>
        <v>F046</v>
      </c>
      <c r="B675" s="46" t="str">
        <f>MID(Tabelle1[[#This Row],[Artikel'#]],5,3)</f>
        <v>138</v>
      </c>
      <c r="C675" s="48" t="str">
        <f>RIGHT(Tabelle1[[#This Row],[Artikel'#]],3)</f>
        <v>804</v>
      </c>
      <c r="D675" s="46">
        <f>IF(Tabelle1[[#This Row],[Winkel2]]=select!$A$2,1,0)</f>
        <v>0</v>
      </c>
      <c r="E67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5" s="46">
        <f>IF(select!$E$16=IF(Tabelle1[[#This Row],[mit Dämpfung]]=1,1,IF(Tabelle1[[#This Row],[ohne Dämpfung]]=1,2,IF(Tabelle1[[#This Row],[ohne Feder]]=1,3,0))),1,0)</f>
        <v>0</v>
      </c>
      <c r="G675" s="46">
        <f>IF(Tabelle1[[#This Row],[Links]]=select!$I$2,1,0)</f>
        <v>0</v>
      </c>
      <c r="H675" s="46">
        <f>IF(IF(Tabelle1[[#This Row],[Anschrauben]]=1,1,IF(Tabelle1[[#This Row],[Einpressen]]=1,2,IF(Tabelle1[[#This Row],[Werkzeuglos]]=1,3,0)))=select!$E$7,1,0)</f>
        <v>0</v>
      </c>
      <c r="I675" s="46">
        <f ca="1">IF(Tabelle1[[#This Row],[Winkel]]+Tabelle1[[#This Row],[Kröpfung]]+Tabelle1[[#This Row],[Däpfung]]+Tabelle1[[#This Row],[Bohrbild]]+Tabelle1[[#This Row],[Scharnierbefestigung]]=5,1,0)</f>
        <v>0</v>
      </c>
      <c r="J675" t="str">
        <f ca="1">Sprache!$A$57</f>
        <v>TIOMOS hinge TT-Click-on</v>
      </c>
      <c r="K675" t="s">
        <v>405</v>
      </c>
      <c r="L675" t="str">
        <f ca="1">Sprache!$A$63</f>
        <v>TIOMOS Click-on hinges</v>
      </c>
      <c r="M675">
        <v>3</v>
      </c>
      <c r="N675" t="s">
        <v>14</v>
      </c>
      <c r="O675">
        <v>160</v>
      </c>
      <c r="P675">
        <v>0</v>
      </c>
      <c r="Q675">
        <v>0</v>
      </c>
      <c r="R675">
        <v>1</v>
      </c>
      <c r="S675">
        <v>1</v>
      </c>
      <c r="T675">
        <v>0</v>
      </c>
      <c r="U675">
        <v>0</v>
      </c>
      <c r="V675" s="14" t="s">
        <v>731</v>
      </c>
    </row>
    <row r="676" spans="1:22" ht="14.25" customHeight="1" x14ac:dyDescent="0.25">
      <c r="A676" s="48" t="str">
        <f>LEFT(Tabelle1[[#This Row],[Artikel'#]],4)</f>
        <v>F046</v>
      </c>
      <c r="B676" s="46" t="str">
        <f>MID(Tabelle1[[#This Row],[Artikel'#]],5,3)</f>
        <v>138</v>
      </c>
      <c r="C676" s="48" t="str">
        <f>RIGHT(Tabelle1[[#This Row],[Artikel'#]],3)</f>
        <v>805</v>
      </c>
      <c r="D676" s="46">
        <f>IF(Tabelle1[[#This Row],[Winkel2]]=select!$A$2,1,0)</f>
        <v>0</v>
      </c>
      <c r="E67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76" s="46">
        <f>IF(select!$E$16=IF(Tabelle1[[#This Row],[mit Dämpfung]]=1,1,IF(Tabelle1[[#This Row],[ohne Dämpfung]]=1,2,IF(Tabelle1[[#This Row],[ohne Feder]]=1,3,0))),1,0)</f>
        <v>0</v>
      </c>
      <c r="G676" s="46">
        <f>IF(Tabelle1[[#This Row],[Links]]=select!$I$2,1,0)</f>
        <v>0</v>
      </c>
      <c r="H676" s="46">
        <f>IF(IF(Tabelle1[[#This Row],[Anschrauben]]=1,1,IF(Tabelle1[[#This Row],[Einpressen]]=1,2,IF(Tabelle1[[#This Row],[Werkzeuglos]]=1,3,0)))=select!$E$7,1,0)</f>
        <v>0</v>
      </c>
      <c r="I676" s="46">
        <f ca="1">IF(Tabelle1[[#This Row],[Winkel]]+Tabelle1[[#This Row],[Kröpfung]]+Tabelle1[[#This Row],[Däpfung]]+Tabelle1[[#This Row],[Bohrbild]]+Tabelle1[[#This Row],[Scharnierbefestigung]]=5,1,0)</f>
        <v>0</v>
      </c>
      <c r="J676" t="str">
        <f ca="1">Sprache!$A$57</f>
        <v>TIOMOS hinge TT-Click-on</v>
      </c>
      <c r="K676" t="s">
        <v>407</v>
      </c>
      <c r="L676" t="str">
        <f ca="1">Sprache!$A$63</f>
        <v>TIOMOS Click-on hinges</v>
      </c>
      <c r="M676">
        <v>9.5</v>
      </c>
      <c r="N676" t="s">
        <v>14</v>
      </c>
      <c r="O676">
        <v>160</v>
      </c>
      <c r="P676">
        <v>0</v>
      </c>
      <c r="Q676">
        <v>0</v>
      </c>
      <c r="R676">
        <v>1</v>
      </c>
      <c r="S676">
        <v>1</v>
      </c>
      <c r="T676">
        <v>0</v>
      </c>
      <c r="U676">
        <v>0</v>
      </c>
      <c r="V676" s="14" t="s">
        <v>732</v>
      </c>
    </row>
    <row r="677" spans="1:22" ht="14.25" customHeight="1" x14ac:dyDescent="0.25">
      <c r="A677" s="48" t="str">
        <f>LEFT(Tabelle1[[#This Row],[Artikel'#]],4)</f>
        <v>F046</v>
      </c>
      <c r="B677" s="46" t="str">
        <f>MID(Tabelle1[[#This Row],[Artikel'#]],5,3)</f>
        <v>138</v>
      </c>
      <c r="C677" s="48" t="str">
        <f>RIGHT(Tabelle1[[#This Row],[Artikel'#]],3)</f>
        <v>806</v>
      </c>
      <c r="D677" s="46">
        <f>IF(Tabelle1[[#This Row],[Winkel2]]=select!$A$2,1,0)</f>
        <v>0</v>
      </c>
      <c r="E67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7" s="46">
        <f>IF(select!$E$16=IF(Tabelle1[[#This Row],[mit Dämpfung]]=1,1,IF(Tabelle1[[#This Row],[ohne Dämpfung]]=1,2,IF(Tabelle1[[#This Row],[ohne Feder]]=1,3,0))),1,0)</f>
        <v>0</v>
      </c>
      <c r="G677" s="46">
        <f>IF(Tabelle1[[#This Row],[Links]]=select!$I$2,1,0)</f>
        <v>0</v>
      </c>
      <c r="H677" s="46">
        <f>IF(IF(Tabelle1[[#This Row],[Anschrauben]]=1,1,IF(Tabelle1[[#This Row],[Einpressen]]=1,2,IF(Tabelle1[[#This Row],[Werkzeuglos]]=1,3,0)))=select!$E$7,1,0)</f>
        <v>1</v>
      </c>
      <c r="I677" s="46">
        <f ca="1">IF(Tabelle1[[#This Row],[Winkel]]+Tabelle1[[#This Row],[Kröpfung]]+Tabelle1[[#This Row],[Däpfung]]+Tabelle1[[#This Row],[Bohrbild]]+Tabelle1[[#This Row],[Scharnierbefestigung]]=5,1,0)</f>
        <v>0</v>
      </c>
      <c r="J677" t="str">
        <f ca="1">Sprache!$A$57</f>
        <v>TIOMOS hinge TT-Click-on</v>
      </c>
      <c r="K677" t="str">
        <f ca="1">"160°, H-BB, K00, "&amp;Sprache!A59&amp;", ni"</f>
        <v>160°, H-BB, K00, Dowel, ni</v>
      </c>
      <c r="L677" t="str">
        <f ca="1">Sprache!$A$63</f>
        <v>TIOMOS Click-on hinges</v>
      </c>
      <c r="M677">
        <v>0</v>
      </c>
      <c r="N677" s="13" t="s">
        <v>14</v>
      </c>
      <c r="O677">
        <v>160</v>
      </c>
      <c r="P677">
        <v>0</v>
      </c>
      <c r="Q677">
        <v>0</v>
      </c>
      <c r="R677">
        <v>1</v>
      </c>
      <c r="S677">
        <v>0</v>
      </c>
      <c r="T677">
        <v>1</v>
      </c>
      <c r="U677">
        <v>0</v>
      </c>
      <c r="V677" s="14" t="s">
        <v>733</v>
      </c>
    </row>
    <row r="678" spans="1:22" ht="14.25" customHeight="1" x14ac:dyDescent="0.25">
      <c r="A678" s="48" t="str">
        <f>LEFT(Tabelle1[[#This Row],[Artikel'#]],4)</f>
        <v>F046</v>
      </c>
      <c r="B678" s="46" t="str">
        <f>MID(Tabelle1[[#This Row],[Artikel'#]],5,3)</f>
        <v>138</v>
      </c>
      <c r="C678" s="48" t="str">
        <f>RIGHT(Tabelle1[[#This Row],[Artikel'#]],3)</f>
        <v>807</v>
      </c>
      <c r="D678" s="46">
        <f>IF(Tabelle1[[#This Row],[Winkel2]]=select!$A$2,1,0)</f>
        <v>0</v>
      </c>
      <c r="E67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78" s="46">
        <f>IF(select!$E$16=IF(Tabelle1[[#This Row],[mit Dämpfung]]=1,1,IF(Tabelle1[[#This Row],[ohne Dämpfung]]=1,2,IF(Tabelle1[[#This Row],[ohne Feder]]=1,3,0))),1,0)</f>
        <v>0</v>
      </c>
      <c r="G678" s="46">
        <f>IF(Tabelle1[[#This Row],[Links]]=select!$I$2,1,0)</f>
        <v>0</v>
      </c>
      <c r="H678" s="46">
        <f>IF(IF(Tabelle1[[#This Row],[Anschrauben]]=1,1,IF(Tabelle1[[#This Row],[Einpressen]]=1,2,IF(Tabelle1[[#This Row],[Werkzeuglos]]=1,3,0)))=select!$E$7,1,0)</f>
        <v>1</v>
      </c>
      <c r="I678" s="46">
        <f ca="1">IF(Tabelle1[[#This Row],[Winkel]]+Tabelle1[[#This Row],[Kröpfung]]+Tabelle1[[#This Row],[Däpfung]]+Tabelle1[[#This Row],[Bohrbild]]+Tabelle1[[#This Row],[Scharnierbefestigung]]=5,1,0)</f>
        <v>0</v>
      </c>
      <c r="J678" t="str">
        <f ca="1">Sprache!$A$57</f>
        <v>TIOMOS hinge TT-Click-on</v>
      </c>
      <c r="K678" t="str">
        <f ca="1">"160°, H-BB, K03, "&amp;Sprache!A59&amp;", ni"</f>
        <v>160°, H-BB, K03, Dowel, ni</v>
      </c>
      <c r="L678" t="str">
        <f ca="1">Sprache!$A$63</f>
        <v>TIOMOS Click-on hinges</v>
      </c>
      <c r="M678">
        <v>3</v>
      </c>
      <c r="N678" t="s">
        <v>14</v>
      </c>
      <c r="O678">
        <v>160</v>
      </c>
      <c r="P678">
        <v>0</v>
      </c>
      <c r="Q678">
        <v>0</v>
      </c>
      <c r="R678">
        <v>1</v>
      </c>
      <c r="S678">
        <v>0</v>
      </c>
      <c r="T678">
        <v>1</v>
      </c>
      <c r="U678">
        <v>0</v>
      </c>
      <c r="V678" s="14" t="s">
        <v>734</v>
      </c>
    </row>
    <row r="679" spans="1:22" ht="14.25" customHeight="1" x14ac:dyDescent="0.25">
      <c r="A679" s="48" t="str">
        <f>LEFT(Tabelle1[[#This Row],[Artikel'#]],4)</f>
        <v>F046</v>
      </c>
      <c r="B679" s="46" t="str">
        <f>MID(Tabelle1[[#This Row],[Artikel'#]],5,3)</f>
        <v>138</v>
      </c>
      <c r="C679" s="48" t="str">
        <f>RIGHT(Tabelle1[[#This Row],[Artikel'#]],3)</f>
        <v>808</v>
      </c>
      <c r="D679" s="46">
        <f>IF(Tabelle1[[#This Row],[Winkel2]]=select!$A$2,1,0)</f>
        <v>0</v>
      </c>
      <c r="E67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79" s="46">
        <f>IF(select!$E$16=IF(Tabelle1[[#This Row],[mit Dämpfung]]=1,1,IF(Tabelle1[[#This Row],[ohne Dämpfung]]=1,2,IF(Tabelle1[[#This Row],[ohne Feder]]=1,3,0))),1,0)</f>
        <v>0</v>
      </c>
      <c r="G679" s="46">
        <f>IF(Tabelle1[[#This Row],[Links]]=select!$I$2,1,0)</f>
        <v>0</v>
      </c>
      <c r="H679" s="46">
        <f>IF(IF(Tabelle1[[#This Row],[Anschrauben]]=1,1,IF(Tabelle1[[#This Row],[Einpressen]]=1,2,IF(Tabelle1[[#This Row],[Werkzeuglos]]=1,3,0)))=select!$E$7,1,0)</f>
        <v>1</v>
      </c>
      <c r="I679" s="46">
        <f ca="1">IF(Tabelle1[[#This Row],[Winkel]]+Tabelle1[[#This Row],[Kröpfung]]+Tabelle1[[#This Row],[Däpfung]]+Tabelle1[[#This Row],[Bohrbild]]+Tabelle1[[#This Row],[Scharnierbefestigung]]=5,1,0)</f>
        <v>0</v>
      </c>
      <c r="J679" t="str">
        <f ca="1">Sprache!$A$57</f>
        <v>TIOMOS hinge TT-Click-on</v>
      </c>
      <c r="K679" t="str">
        <f ca="1">"160°, H-BB, K95, "&amp;Sprache!A59&amp;", ni"</f>
        <v>160°, H-BB, K95, Dowel, ni</v>
      </c>
      <c r="L679" t="str">
        <f ca="1">Sprache!$A$63</f>
        <v>TIOMOS Click-on hinges</v>
      </c>
      <c r="M679">
        <v>9.5</v>
      </c>
      <c r="N679" t="s">
        <v>14</v>
      </c>
      <c r="O679">
        <v>160</v>
      </c>
      <c r="P679">
        <v>0</v>
      </c>
      <c r="Q679">
        <v>0</v>
      </c>
      <c r="R679">
        <v>1</v>
      </c>
      <c r="S679">
        <v>0</v>
      </c>
      <c r="T679">
        <v>1</v>
      </c>
      <c r="U679">
        <v>0</v>
      </c>
      <c r="V679" s="14" t="s">
        <v>735</v>
      </c>
    </row>
    <row r="680" spans="1:22" ht="14.25" customHeight="1" x14ac:dyDescent="0.25">
      <c r="A680" s="48" t="str">
        <f>LEFT(Tabelle1[[#This Row],[Artikel'#]],4)</f>
        <v>F046</v>
      </c>
      <c r="B680" s="46" t="str">
        <f>MID(Tabelle1[[#This Row],[Artikel'#]],5,3)</f>
        <v>138</v>
      </c>
      <c r="C680" s="48" t="str">
        <f>RIGHT(Tabelle1[[#This Row],[Artikel'#]],3)</f>
        <v>809</v>
      </c>
      <c r="D680" s="46">
        <f>IF(Tabelle1[[#This Row],[Winkel2]]=select!$A$2,1,0)</f>
        <v>0</v>
      </c>
      <c r="E68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0" s="46">
        <f>IF(select!$E$16=IF(Tabelle1[[#This Row],[mit Dämpfung]]=1,1,IF(Tabelle1[[#This Row],[ohne Dämpfung]]=1,2,IF(Tabelle1[[#This Row],[ohne Feder]]=1,3,0))),1,0)</f>
        <v>0</v>
      </c>
      <c r="G680" s="46">
        <f>IF(Tabelle1[[#This Row],[Links]]=select!$I$2,1,0)</f>
        <v>0</v>
      </c>
      <c r="H680" s="46">
        <f>IF(IF(Tabelle1[[#This Row],[Anschrauben]]=1,1,IF(Tabelle1[[#This Row],[Einpressen]]=1,2,IF(Tabelle1[[#This Row],[Werkzeuglos]]=1,3,0)))=select!$E$7,1,0)</f>
        <v>0</v>
      </c>
      <c r="I680" s="46">
        <f ca="1">IF(Tabelle1[[#This Row],[Winkel]]+Tabelle1[[#This Row],[Kröpfung]]+Tabelle1[[#This Row],[Däpfung]]+Tabelle1[[#This Row],[Bohrbild]]+Tabelle1[[#This Row],[Scharnierbefestigung]]=5,1,0)</f>
        <v>0</v>
      </c>
      <c r="J680" t="str">
        <f ca="1">Sprache!$A$57</f>
        <v>TIOMOS hinge TT-Click-on</v>
      </c>
      <c r="K680" t="s">
        <v>412</v>
      </c>
      <c r="L680" t="str">
        <f ca="1">Sprache!$A$63</f>
        <v>TIOMOS Click-on hinges</v>
      </c>
      <c r="M680">
        <v>0</v>
      </c>
      <c r="N680" t="s">
        <v>14</v>
      </c>
      <c r="O680">
        <v>95</v>
      </c>
      <c r="P680">
        <v>0</v>
      </c>
      <c r="Q680">
        <v>0</v>
      </c>
      <c r="R680">
        <v>1</v>
      </c>
      <c r="S680">
        <v>1</v>
      </c>
      <c r="T680">
        <v>0</v>
      </c>
      <c r="U680">
        <v>0</v>
      </c>
      <c r="V680" s="14" t="s">
        <v>736</v>
      </c>
    </row>
    <row r="681" spans="1:22" ht="14.25" customHeight="1" x14ac:dyDescent="0.25">
      <c r="A681" s="48" t="str">
        <f>LEFT(Tabelle1[[#This Row],[Artikel'#]],4)</f>
        <v>F046</v>
      </c>
      <c r="B681" s="46" t="str">
        <f>MID(Tabelle1[[#This Row],[Artikel'#]],5,3)</f>
        <v>138</v>
      </c>
      <c r="C681" s="48" t="str">
        <f>RIGHT(Tabelle1[[#This Row],[Artikel'#]],3)</f>
        <v>810</v>
      </c>
      <c r="D681" s="46">
        <f>IF(Tabelle1[[#This Row],[Winkel2]]=select!$A$2,1,0)</f>
        <v>0</v>
      </c>
      <c r="E68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1" s="46">
        <f>IF(select!$E$16=IF(Tabelle1[[#This Row],[mit Dämpfung]]=1,1,IF(Tabelle1[[#This Row],[ohne Dämpfung]]=1,2,IF(Tabelle1[[#This Row],[ohne Feder]]=1,3,0))),1,0)</f>
        <v>0</v>
      </c>
      <c r="G681" s="46">
        <f>IF(Tabelle1[[#This Row],[Links]]=select!$I$2,1,0)</f>
        <v>0</v>
      </c>
      <c r="H681" s="46">
        <f>IF(IF(Tabelle1[[#This Row],[Anschrauben]]=1,1,IF(Tabelle1[[#This Row],[Einpressen]]=1,2,IF(Tabelle1[[#This Row],[Werkzeuglos]]=1,3,0)))=select!$E$7,1,0)</f>
        <v>0</v>
      </c>
      <c r="I681" s="46">
        <f ca="1">IF(Tabelle1[[#This Row],[Winkel]]+Tabelle1[[#This Row],[Kröpfung]]+Tabelle1[[#This Row],[Däpfung]]+Tabelle1[[#This Row],[Bohrbild]]+Tabelle1[[#This Row],[Scharnierbefestigung]]=5,1,0)</f>
        <v>0</v>
      </c>
      <c r="J681" t="str">
        <f ca="1">Sprache!$A$57</f>
        <v>TIOMOS hinge TT-Click-on</v>
      </c>
      <c r="K681" t="s">
        <v>414</v>
      </c>
      <c r="L681" t="str">
        <f ca="1">Sprache!$A$63</f>
        <v>TIOMOS Click-on hinges</v>
      </c>
      <c r="M681">
        <v>3</v>
      </c>
      <c r="N681" t="s">
        <v>14</v>
      </c>
      <c r="O681">
        <v>95</v>
      </c>
      <c r="P681">
        <v>0</v>
      </c>
      <c r="Q681">
        <v>0</v>
      </c>
      <c r="R681">
        <v>1</v>
      </c>
      <c r="S681">
        <v>1</v>
      </c>
      <c r="T681">
        <v>0</v>
      </c>
      <c r="U681">
        <v>0</v>
      </c>
      <c r="V681" s="14" t="s">
        <v>737</v>
      </c>
    </row>
    <row r="682" spans="1:22" ht="14.25" customHeight="1" x14ac:dyDescent="0.25">
      <c r="A682" s="48" t="str">
        <f>LEFT(Tabelle1[[#This Row],[Artikel'#]],4)</f>
        <v>F046</v>
      </c>
      <c r="B682" s="46" t="str">
        <f>MID(Tabelle1[[#This Row],[Artikel'#]],5,3)</f>
        <v>138</v>
      </c>
      <c r="C682" s="48" t="str">
        <f>RIGHT(Tabelle1[[#This Row],[Artikel'#]],3)</f>
        <v>811</v>
      </c>
      <c r="D682" s="46">
        <f>IF(Tabelle1[[#This Row],[Winkel2]]=select!$A$2,1,0)</f>
        <v>0</v>
      </c>
      <c r="E68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82" s="46">
        <f>IF(select!$E$16=IF(Tabelle1[[#This Row],[mit Dämpfung]]=1,1,IF(Tabelle1[[#This Row],[ohne Dämpfung]]=1,2,IF(Tabelle1[[#This Row],[ohne Feder]]=1,3,0))),1,0)</f>
        <v>0</v>
      </c>
      <c r="G682" s="46">
        <f>IF(Tabelle1[[#This Row],[Links]]=select!$I$2,1,0)</f>
        <v>0</v>
      </c>
      <c r="H682" s="46">
        <f>IF(IF(Tabelle1[[#This Row],[Anschrauben]]=1,1,IF(Tabelle1[[#This Row],[Einpressen]]=1,2,IF(Tabelle1[[#This Row],[Werkzeuglos]]=1,3,0)))=select!$E$7,1,0)</f>
        <v>0</v>
      </c>
      <c r="I682" s="46">
        <f ca="1">IF(Tabelle1[[#This Row],[Winkel]]+Tabelle1[[#This Row],[Kröpfung]]+Tabelle1[[#This Row],[Däpfung]]+Tabelle1[[#This Row],[Bohrbild]]+Tabelle1[[#This Row],[Scharnierbefestigung]]=5,1,0)</f>
        <v>0</v>
      </c>
      <c r="J682" t="str">
        <f ca="1">Sprache!$A$57</f>
        <v>TIOMOS hinge TT-Click-on</v>
      </c>
      <c r="K682" t="s">
        <v>416</v>
      </c>
      <c r="L682" t="str">
        <f ca="1">Sprache!$A$63</f>
        <v>TIOMOS Click-on hinges</v>
      </c>
      <c r="M682">
        <v>9.5</v>
      </c>
      <c r="N682" t="s">
        <v>14</v>
      </c>
      <c r="O682">
        <v>95</v>
      </c>
      <c r="P682">
        <v>0</v>
      </c>
      <c r="Q682">
        <v>0</v>
      </c>
      <c r="R682">
        <v>1</v>
      </c>
      <c r="S682">
        <v>1</v>
      </c>
      <c r="T682">
        <v>0</v>
      </c>
      <c r="U682">
        <v>0</v>
      </c>
      <c r="V682" s="14" t="s">
        <v>738</v>
      </c>
    </row>
    <row r="683" spans="1:22" ht="14.25" customHeight="1" x14ac:dyDescent="0.25">
      <c r="A683" s="48" t="str">
        <f>LEFT(Tabelle1[[#This Row],[Artikel'#]],4)</f>
        <v>F046</v>
      </c>
      <c r="B683" s="46" t="str">
        <f>MID(Tabelle1[[#This Row],[Artikel'#]],5,3)</f>
        <v>138</v>
      </c>
      <c r="C683" s="48" t="str">
        <f>RIGHT(Tabelle1[[#This Row],[Artikel'#]],3)</f>
        <v>812</v>
      </c>
      <c r="D683" s="46">
        <f>IF(Tabelle1[[#This Row],[Winkel2]]=select!$A$2,1,0)</f>
        <v>0</v>
      </c>
      <c r="E68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3" s="46">
        <f>IF(select!$E$16=IF(Tabelle1[[#This Row],[mit Dämpfung]]=1,1,IF(Tabelle1[[#This Row],[ohne Dämpfung]]=1,2,IF(Tabelle1[[#This Row],[ohne Feder]]=1,3,0))),1,0)</f>
        <v>0</v>
      </c>
      <c r="G683" s="46">
        <f>IF(Tabelle1[[#This Row],[Links]]=select!$I$2,1,0)</f>
        <v>0</v>
      </c>
      <c r="H683" s="46">
        <f>IF(IF(Tabelle1[[#This Row],[Anschrauben]]=1,1,IF(Tabelle1[[#This Row],[Einpressen]]=1,2,IF(Tabelle1[[#This Row],[Werkzeuglos]]=1,3,0)))=select!$E$7,1,0)</f>
        <v>0</v>
      </c>
      <c r="I683" s="46">
        <f ca="1">IF(Tabelle1[[#This Row],[Winkel]]+Tabelle1[[#This Row],[Kröpfung]]+Tabelle1[[#This Row],[Däpfung]]+Tabelle1[[#This Row],[Bohrbild]]+Tabelle1[[#This Row],[Scharnierbefestigung]]=5,1,0)</f>
        <v>0</v>
      </c>
      <c r="J683" t="str">
        <f ca="1">Sprache!$A$57</f>
        <v>TIOMOS hinge TT-Click-on</v>
      </c>
      <c r="K683" t="s">
        <v>418</v>
      </c>
      <c r="L683" t="str">
        <f ca="1">Sprache!$A$63</f>
        <v>TIOMOS Click-on hinges</v>
      </c>
      <c r="M683">
        <v>19</v>
      </c>
      <c r="N683" t="s">
        <v>14</v>
      </c>
      <c r="O683">
        <v>95</v>
      </c>
      <c r="P683">
        <v>0</v>
      </c>
      <c r="Q683">
        <v>0</v>
      </c>
      <c r="R683">
        <v>1</v>
      </c>
      <c r="S683">
        <v>1</v>
      </c>
      <c r="T683">
        <v>0</v>
      </c>
      <c r="U683">
        <v>0</v>
      </c>
      <c r="V683" s="14" t="s">
        <v>739</v>
      </c>
    </row>
    <row r="684" spans="1:22" ht="14.25" customHeight="1" x14ac:dyDescent="0.25">
      <c r="A684" s="48" t="str">
        <f>LEFT(Tabelle1[[#This Row],[Artikel'#]],4)</f>
        <v>F046</v>
      </c>
      <c r="B684" s="46" t="str">
        <f>MID(Tabelle1[[#This Row],[Artikel'#]],5,3)</f>
        <v>138</v>
      </c>
      <c r="C684" s="48" t="str">
        <f>RIGHT(Tabelle1[[#This Row],[Artikel'#]],3)</f>
        <v>813</v>
      </c>
      <c r="D684" s="46">
        <f>IF(Tabelle1[[#This Row],[Winkel2]]=select!$A$2,1,0)</f>
        <v>0</v>
      </c>
      <c r="E68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4" s="46">
        <f>IF(select!$E$16=IF(Tabelle1[[#This Row],[mit Dämpfung]]=1,1,IF(Tabelle1[[#This Row],[ohne Dämpfung]]=1,2,IF(Tabelle1[[#This Row],[ohne Feder]]=1,3,0))),1,0)</f>
        <v>0</v>
      </c>
      <c r="G684" s="46">
        <f>IF(Tabelle1[[#This Row],[Links]]=select!$I$2,1,0)</f>
        <v>0</v>
      </c>
      <c r="H684" s="46">
        <f>IF(IF(Tabelle1[[#This Row],[Anschrauben]]=1,1,IF(Tabelle1[[#This Row],[Einpressen]]=1,2,IF(Tabelle1[[#This Row],[Werkzeuglos]]=1,3,0)))=select!$E$7,1,0)</f>
        <v>1</v>
      </c>
      <c r="I684" s="46">
        <f ca="1">IF(Tabelle1[[#This Row],[Winkel]]+Tabelle1[[#This Row],[Kröpfung]]+Tabelle1[[#This Row],[Däpfung]]+Tabelle1[[#This Row],[Bohrbild]]+Tabelle1[[#This Row],[Scharnierbefestigung]]=5,1,0)</f>
        <v>0</v>
      </c>
      <c r="J684" t="str">
        <f ca="1">Sprache!$A$57</f>
        <v>TIOMOS hinge TT-Click-on</v>
      </c>
      <c r="K684" t="str">
        <f ca="1">"95°, H-BB, K00, "&amp;Sprache!A59&amp;", ni"</f>
        <v>95°, H-BB, K00, Dowel, ni</v>
      </c>
      <c r="L684" t="str">
        <f ca="1">Sprache!$A$63</f>
        <v>TIOMOS Click-on hinges</v>
      </c>
      <c r="M684">
        <v>0</v>
      </c>
      <c r="N684" t="s">
        <v>14</v>
      </c>
      <c r="O684">
        <v>95</v>
      </c>
      <c r="P684">
        <v>0</v>
      </c>
      <c r="Q684">
        <v>0</v>
      </c>
      <c r="R684">
        <v>1</v>
      </c>
      <c r="S684">
        <v>0</v>
      </c>
      <c r="T684">
        <v>1</v>
      </c>
      <c r="U684">
        <v>0</v>
      </c>
      <c r="V684" s="14" t="s">
        <v>740</v>
      </c>
    </row>
    <row r="685" spans="1:22" ht="14.25" customHeight="1" x14ac:dyDescent="0.25">
      <c r="A685" s="48" t="str">
        <f>LEFT(Tabelle1[[#This Row],[Artikel'#]],4)</f>
        <v>F046</v>
      </c>
      <c r="B685" s="46" t="str">
        <f>MID(Tabelle1[[#This Row],[Artikel'#]],5,3)</f>
        <v>138</v>
      </c>
      <c r="C685" s="48" t="str">
        <f>RIGHT(Tabelle1[[#This Row],[Artikel'#]],3)</f>
        <v>814</v>
      </c>
      <c r="D685" s="46">
        <f>IF(Tabelle1[[#This Row],[Winkel2]]=select!$A$2,1,0)</f>
        <v>0</v>
      </c>
      <c r="E68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5" s="46">
        <f>IF(select!$E$16=IF(Tabelle1[[#This Row],[mit Dämpfung]]=1,1,IF(Tabelle1[[#This Row],[ohne Dämpfung]]=1,2,IF(Tabelle1[[#This Row],[ohne Feder]]=1,3,0))),1,0)</f>
        <v>0</v>
      </c>
      <c r="G685" s="46">
        <f>IF(Tabelle1[[#This Row],[Links]]=select!$I$2,1,0)</f>
        <v>0</v>
      </c>
      <c r="H685" s="46">
        <f>IF(IF(Tabelle1[[#This Row],[Anschrauben]]=1,1,IF(Tabelle1[[#This Row],[Einpressen]]=1,2,IF(Tabelle1[[#This Row],[Werkzeuglos]]=1,3,0)))=select!$E$7,1,0)</f>
        <v>1</v>
      </c>
      <c r="I685" s="46">
        <f ca="1">IF(Tabelle1[[#This Row],[Winkel]]+Tabelle1[[#This Row],[Kröpfung]]+Tabelle1[[#This Row],[Däpfung]]+Tabelle1[[#This Row],[Bohrbild]]+Tabelle1[[#This Row],[Scharnierbefestigung]]=5,1,0)</f>
        <v>0</v>
      </c>
      <c r="J685" t="str">
        <f ca="1">Sprache!$A$57</f>
        <v>TIOMOS hinge TT-Click-on</v>
      </c>
      <c r="K685" t="str">
        <f ca="1">"95°, H-BB, K03, "&amp;Sprache!A59&amp;", ni"</f>
        <v>95°, H-BB, K03, Dowel, ni</v>
      </c>
      <c r="L685" t="str">
        <f ca="1">Sprache!$A$63</f>
        <v>TIOMOS Click-on hinges</v>
      </c>
      <c r="M685">
        <v>3</v>
      </c>
      <c r="N685" t="s">
        <v>14</v>
      </c>
      <c r="O685">
        <v>95</v>
      </c>
      <c r="P685">
        <v>0</v>
      </c>
      <c r="Q685">
        <v>0</v>
      </c>
      <c r="R685">
        <v>1</v>
      </c>
      <c r="S685">
        <v>0</v>
      </c>
      <c r="T685">
        <v>1</v>
      </c>
      <c r="U685">
        <v>0</v>
      </c>
      <c r="V685" s="14" t="s">
        <v>741</v>
      </c>
    </row>
    <row r="686" spans="1:22" ht="14.25" customHeight="1" x14ac:dyDescent="0.25">
      <c r="A686" s="48" t="str">
        <f>LEFT(Tabelle1[[#This Row],[Artikel'#]],4)</f>
        <v>F046</v>
      </c>
      <c r="B686" s="46" t="str">
        <f>MID(Tabelle1[[#This Row],[Artikel'#]],5,3)</f>
        <v>138</v>
      </c>
      <c r="C686" s="48" t="str">
        <f>RIGHT(Tabelle1[[#This Row],[Artikel'#]],3)</f>
        <v>815</v>
      </c>
      <c r="D686" s="46">
        <f>IF(Tabelle1[[#This Row],[Winkel2]]=select!$A$2,1,0)</f>
        <v>0</v>
      </c>
      <c r="E68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86" s="46">
        <f>IF(select!$E$16=IF(Tabelle1[[#This Row],[mit Dämpfung]]=1,1,IF(Tabelle1[[#This Row],[ohne Dämpfung]]=1,2,IF(Tabelle1[[#This Row],[ohne Feder]]=1,3,0))),1,0)</f>
        <v>0</v>
      </c>
      <c r="G686" s="46">
        <f>IF(Tabelle1[[#This Row],[Links]]=select!$I$2,1,0)</f>
        <v>0</v>
      </c>
      <c r="H686" s="46">
        <f>IF(IF(Tabelle1[[#This Row],[Anschrauben]]=1,1,IF(Tabelle1[[#This Row],[Einpressen]]=1,2,IF(Tabelle1[[#This Row],[Werkzeuglos]]=1,3,0)))=select!$E$7,1,0)</f>
        <v>1</v>
      </c>
      <c r="I686" s="46">
        <f ca="1">IF(Tabelle1[[#This Row],[Winkel]]+Tabelle1[[#This Row],[Kröpfung]]+Tabelle1[[#This Row],[Däpfung]]+Tabelle1[[#This Row],[Bohrbild]]+Tabelle1[[#This Row],[Scharnierbefestigung]]=5,1,0)</f>
        <v>0</v>
      </c>
      <c r="J686" t="str">
        <f ca="1">Sprache!$A$57</f>
        <v>TIOMOS hinge TT-Click-on</v>
      </c>
      <c r="K686" t="str">
        <f ca="1">"95°, H-BB, K95, "&amp;Sprache!A59&amp;", ni"</f>
        <v>95°, H-BB, K95, Dowel, ni</v>
      </c>
      <c r="L686" t="str">
        <f ca="1">Sprache!$A$63</f>
        <v>TIOMOS Click-on hinges</v>
      </c>
      <c r="M686">
        <v>9.5</v>
      </c>
      <c r="N686" t="s">
        <v>14</v>
      </c>
      <c r="O686">
        <v>95</v>
      </c>
      <c r="P686">
        <v>0</v>
      </c>
      <c r="Q686">
        <v>0</v>
      </c>
      <c r="R686">
        <v>1</v>
      </c>
      <c r="S686">
        <v>0</v>
      </c>
      <c r="T686">
        <v>1</v>
      </c>
      <c r="U686">
        <v>0</v>
      </c>
      <c r="V686" s="14" t="s">
        <v>742</v>
      </c>
    </row>
    <row r="687" spans="1:22" ht="14.25" customHeight="1" x14ac:dyDescent="0.25">
      <c r="A687" s="48" t="str">
        <f>LEFT(Tabelle1[[#This Row],[Artikel'#]],4)</f>
        <v>F046</v>
      </c>
      <c r="B687" s="46" t="str">
        <f>MID(Tabelle1[[#This Row],[Artikel'#]],5,3)</f>
        <v>138</v>
      </c>
      <c r="C687" s="48" t="str">
        <f>RIGHT(Tabelle1[[#This Row],[Artikel'#]],3)</f>
        <v>816</v>
      </c>
      <c r="D687" s="46">
        <f>IF(Tabelle1[[#This Row],[Winkel2]]=select!$A$2,1,0)</f>
        <v>0</v>
      </c>
      <c r="E68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7" s="46">
        <f>IF(select!$E$16=IF(Tabelle1[[#This Row],[mit Dämpfung]]=1,1,IF(Tabelle1[[#This Row],[ohne Dämpfung]]=1,2,IF(Tabelle1[[#This Row],[ohne Feder]]=1,3,0))),1,0)</f>
        <v>0</v>
      </c>
      <c r="G687" s="46">
        <f>IF(Tabelle1[[#This Row],[Links]]=select!$I$2,1,0)</f>
        <v>0</v>
      </c>
      <c r="H687" s="46">
        <f>IF(IF(Tabelle1[[#This Row],[Anschrauben]]=1,1,IF(Tabelle1[[#This Row],[Einpressen]]=1,2,IF(Tabelle1[[#This Row],[Werkzeuglos]]=1,3,0)))=select!$E$7,1,0)</f>
        <v>1</v>
      </c>
      <c r="I687" s="46">
        <f ca="1">IF(Tabelle1[[#This Row],[Winkel]]+Tabelle1[[#This Row],[Kröpfung]]+Tabelle1[[#This Row],[Däpfung]]+Tabelle1[[#This Row],[Bohrbild]]+Tabelle1[[#This Row],[Scharnierbefestigung]]=5,1,0)</f>
        <v>0</v>
      </c>
      <c r="J687" t="str">
        <f ca="1">Sprache!$A$57</f>
        <v>TIOMOS hinge TT-Click-on</v>
      </c>
      <c r="K687" t="str">
        <f ca="1">"95°, H-BB, K19, "&amp;Sprache!A59&amp;", ni"</f>
        <v>95°, H-BB, K19, Dowel, ni</v>
      </c>
      <c r="L687" t="str">
        <f ca="1">Sprache!$A$63</f>
        <v>TIOMOS Click-on hinges</v>
      </c>
      <c r="M687">
        <v>19</v>
      </c>
      <c r="N687" t="s">
        <v>14</v>
      </c>
      <c r="O687">
        <v>95</v>
      </c>
      <c r="P687">
        <v>0</v>
      </c>
      <c r="Q687">
        <v>0</v>
      </c>
      <c r="R687">
        <v>1</v>
      </c>
      <c r="S687">
        <v>0</v>
      </c>
      <c r="T687">
        <v>1</v>
      </c>
      <c r="U687">
        <v>0</v>
      </c>
      <c r="V687" s="14" t="s">
        <v>743</v>
      </c>
    </row>
    <row r="688" spans="1:22" ht="14.25" customHeight="1" x14ac:dyDescent="0.25">
      <c r="A688" s="48" t="str">
        <f>LEFT(Tabelle1[[#This Row],[Artikel'#]],4)</f>
        <v>F046</v>
      </c>
      <c r="B688" s="46" t="str">
        <f>MID(Tabelle1[[#This Row],[Artikel'#]],5,3)</f>
        <v>138</v>
      </c>
      <c r="C688" s="48" t="str">
        <f>RIGHT(Tabelle1[[#This Row],[Artikel'#]],3)</f>
        <v>943</v>
      </c>
      <c r="D688" s="46">
        <f>IF(Tabelle1[[#This Row],[Winkel2]]=select!$A$2,1,0)</f>
        <v>1</v>
      </c>
      <c r="E68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8" s="46">
        <f>IF(select!$E$16=IF(Tabelle1[[#This Row],[mit Dämpfung]]=1,1,IF(Tabelle1[[#This Row],[ohne Dämpfung]]=1,2,IF(Tabelle1[[#This Row],[ohne Feder]]=1,3,0))),1,0)</f>
        <v>0</v>
      </c>
      <c r="G688" s="46">
        <f>IF(Tabelle1[[#This Row],[Links]]=select!$I$2,1,0)</f>
        <v>0</v>
      </c>
      <c r="H688" s="46">
        <f>IF(IF(Tabelle1[[#This Row],[Anschrauben]]=1,1,IF(Tabelle1[[#This Row],[Einpressen]]=1,2,IF(Tabelle1[[#This Row],[Werkzeuglos]]=1,3,0)))=select!$E$7,1,0)</f>
        <v>0</v>
      </c>
      <c r="I688" s="46">
        <f ca="1">IF(Tabelle1[[#This Row],[Winkel]]+Tabelle1[[#This Row],[Kröpfung]]+Tabelle1[[#This Row],[Däpfung]]+Tabelle1[[#This Row],[Bohrbild]]+Tabelle1[[#This Row],[Scharnierbefestigung]]=5,1,0)</f>
        <v>0</v>
      </c>
      <c r="J688" t="str">
        <f ca="1">Sprache!$A$57</f>
        <v>TIOMOS hinge TT-Click-on</v>
      </c>
      <c r="K688" t="s">
        <v>424</v>
      </c>
      <c r="L688" t="str">
        <f ca="1">Sprache!$A$63</f>
        <v>TIOMOS Click-on hinges</v>
      </c>
      <c r="M688">
        <v>0</v>
      </c>
      <c r="N688" t="s">
        <v>15</v>
      </c>
      <c r="O688">
        <v>110</v>
      </c>
      <c r="P688">
        <v>0</v>
      </c>
      <c r="Q688">
        <v>0</v>
      </c>
      <c r="R688">
        <v>1</v>
      </c>
      <c r="S688">
        <v>1</v>
      </c>
      <c r="T688">
        <v>0</v>
      </c>
      <c r="U688">
        <v>0</v>
      </c>
      <c r="V688" s="14" t="s">
        <v>744</v>
      </c>
    </row>
    <row r="689" spans="1:22" ht="14.25" customHeight="1" x14ac:dyDescent="0.25">
      <c r="A689" s="48" t="str">
        <f>LEFT(Tabelle1[[#This Row],[Artikel'#]],4)</f>
        <v>F046</v>
      </c>
      <c r="B689" s="46" t="str">
        <f>MID(Tabelle1[[#This Row],[Artikel'#]],5,3)</f>
        <v>138</v>
      </c>
      <c r="C689" s="48" t="str">
        <f>RIGHT(Tabelle1[[#This Row],[Artikel'#]],3)</f>
        <v>944</v>
      </c>
      <c r="D689" s="46">
        <f>IF(Tabelle1[[#This Row],[Winkel2]]=select!$A$2,1,0)</f>
        <v>1</v>
      </c>
      <c r="E68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89" s="46">
        <f>IF(select!$E$16=IF(Tabelle1[[#This Row],[mit Dämpfung]]=1,1,IF(Tabelle1[[#This Row],[ohne Dämpfung]]=1,2,IF(Tabelle1[[#This Row],[ohne Feder]]=1,3,0))),1,0)</f>
        <v>0</v>
      </c>
      <c r="G689" s="46">
        <f>IF(Tabelle1[[#This Row],[Links]]=select!$I$2,1,0)</f>
        <v>0</v>
      </c>
      <c r="H689" s="46">
        <f>IF(IF(Tabelle1[[#This Row],[Anschrauben]]=1,1,IF(Tabelle1[[#This Row],[Einpressen]]=1,2,IF(Tabelle1[[#This Row],[Werkzeuglos]]=1,3,0)))=select!$E$7,1,0)</f>
        <v>0</v>
      </c>
      <c r="I689" s="46">
        <f ca="1">IF(Tabelle1[[#This Row],[Winkel]]+Tabelle1[[#This Row],[Kröpfung]]+Tabelle1[[#This Row],[Däpfung]]+Tabelle1[[#This Row],[Bohrbild]]+Tabelle1[[#This Row],[Scharnierbefestigung]]=5,1,0)</f>
        <v>0</v>
      </c>
      <c r="J689" t="str">
        <f ca="1">Sprache!$A$57</f>
        <v>TIOMOS hinge TT-Click-on</v>
      </c>
      <c r="K689" t="s">
        <v>426</v>
      </c>
      <c r="L689" t="str">
        <f ca="1">Sprache!$A$63</f>
        <v>TIOMOS Click-on hinges</v>
      </c>
      <c r="M689">
        <v>3</v>
      </c>
      <c r="N689" t="s">
        <v>15</v>
      </c>
      <c r="O689">
        <v>110</v>
      </c>
      <c r="P689">
        <v>0</v>
      </c>
      <c r="Q689">
        <v>0</v>
      </c>
      <c r="R689">
        <v>1</v>
      </c>
      <c r="S689">
        <v>1</v>
      </c>
      <c r="T689">
        <v>0</v>
      </c>
      <c r="U689">
        <v>0</v>
      </c>
      <c r="V689" s="14" t="s">
        <v>745</v>
      </c>
    </row>
    <row r="690" spans="1:22" ht="14.25" customHeight="1" x14ac:dyDescent="0.25">
      <c r="A690" s="48" t="str">
        <f>LEFT(Tabelle1[[#This Row],[Artikel'#]],4)</f>
        <v>F046</v>
      </c>
      <c r="B690" s="46" t="str">
        <f>MID(Tabelle1[[#This Row],[Artikel'#]],5,3)</f>
        <v>138</v>
      </c>
      <c r="C690" s="48" t="str">
        <f>RIGHT(Tabelle1[[#This Row],[Artikel'#]],3)</f>
        <v>945</v>
      </c>
      <c r="D690" s="46">
        <f>IF(Tabelle1[[#This Row],[Winkel2]]=select!$A$2,1,0)</f>
        <v>1</v>
      </c>
      <c r="E69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90" s="46">
        <f>IF(select!$E$16=IF(Tabelle1[[#This Row],[mit Dämpfung]]=1,1,IF(Tabelle1[[#This Row],[ohne Dämpfung]]=1,2,IF(Tabelle1[[#This Row],[ohne Feder]]=1,3,0))),1,0)</f>
        <v>0</v>
      </c>
      <c r="G690" s="46">
        <f>IF(Tabelle1[[#This Row],[Links]]=select!$I$2,1,0)</f>
        <v>0</v>
      </c>
      <c r="H690" s="46">
        <f>IF(IF(Tabelle1[[#This Row],[Anschrauben]]=1,1,IF(Tabelle1[[#This Row],[Einpressen]]=1,2,IF(Tabelle1[[#This Row],[Werkzeuglos]]=1,3,0)))=select!$E$7,1,0)</f>
        <v>0</v>
      </c>
      <c r="I690" s="46">
        <f ca="1">IF(Tabelle1[[#This Row],[Winkel]]+Tabelle1[[#This Row],[Kröpfung]]+Tabelle1[[#This Row],[Däpfung]]+Tabelle1[[#This Row],[Bohrbild]]+Tabelle1[[#This Row],[Scharnierbefestigung]]=5,1,0)</f>
        <v>0</v>
      </c>
      <c r="J690" t="str">
        <f ca="1">Sprache!$A$57</f>
        <v>TIOMOS hinge TT-Click-on</v>
      </c>
      <c r="K690" t="s">
        <v>428</v>
      </c>
      <c r="L690" t="str">
        <f ca="1">Sprache!$A$63</f>
        <v>TIOMOS Click-on hinges</v>
      </c>
      <c r="M690">
        <v>9.5</v>
      </c>
      <c r="N690" t="s">
        <v>15</v>
      </c>
      <c r="O690">
        <v>110</v>
      </c>
      <c r="P690">
        <v>0</v>
      </c>
      <c r="Q690">
        <v>0</v>
      </c>
      <c r="R690">
        <v>1</v>
      </c>
      <c r="S690">
        <v>1</v>
      </c>
      <c r="T690">
        <v>0</v>
      </c>
      <c r="U690">
        <v>0</v>
      </c>
      <c r="V690" s="14" t="s">
        <v>746</v>
      </c>
    </row>
    <row r="691" spans="1:22" ht="14.25" customHeight="1" x14ac:dyDescent="0.25">
      <c r="A691" s="48" t="str">
        <f>LEFT(Tabelle1[[#This Row],[Artikel'#]],4)</f>
        <v>F046</v>
      </c>
      <c r="B691" s="46" t="str">
        <f>MID(Tabelle1[[#This Row],[Artikel'#]],5,3)</f>
        <v>138</v>
      </c>
      <c r="C691" s="48" t="str">
        <f>RIGHT(Tabelle1[[#This Row],[Artikel'#]],3)</f>
        <v>946</v>
      </c>
      <c r="D691" s="46">
        <f>IF(Tabelle1[[#This Row],[Winkel2]]=select!$A$2,1,0)</f>
        <v>1</v>
      </c>
      <c r="E69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1" s="46">
        <f>IF(select!$E$16=IF(Tabelle1[[#This Row],[mit Dämpfung]]=1,1,IF(Tabelle1[[#This Row],[ohne Dämpfung]]=1,2,IF(Tabelle1[[#This Row],[ohne Feder]]=1,3,0))),1,0)</f>
        <v>0</v>
      </c>
      <c r="G691" s="46">
        <f>IF(Tabelle1[[#This Row],[Links]]=select!$I$2,1,0)</f>
        <v>0</v>
      </c>
      <c r="H691" s="46">
        <f>IF(IF(Tabelle1[[#This Row],[Anschrauben]]=1,1,IF(Tabelle1[[#This Row],[Einpressen]]=1,2,IF(Tabelle1[[#This Row],[Werkzeuglos]]=1,3,0)))=select!$E$7,1,0)</f>
        <v>0</v>
      </c>
      <c r="I691" s="46">
        <f ca="1">IF(Tabelle1[[#This Row],[Winkel]]+Tabelle1[[#This Row],[Kröpfung]]+Tabelle1[[#This Row],[Däpfung]]+Tabelle1[[#This Row],[Bohrbild]]+Tabelle1[[#This Row],[Scharnierbefestigung]]=5,1,0)</f>
        <v>0</v>
      </c>
      <c r="J691" t="str">
        <f ca="1">Sprache!$A$57</f>
        <v>TIOMOS hinge TT-Click-on</v>
      </c>
      <c r="K691" t="s">
        <v>430</v>
      </c>
      <c r="L691" t="str">
        <f ca="1">Sprache!$A$63</f>
        <v>TIOMOS Click-on hinges</v>
      </c>
      <c r="M691">
        <v>19</v>
      </c>
      <c r="N691" t="s">
        <v>15</v>
      </c>
      <c r="O691">
        <v>110</v>
      </c>
      <c r="P691">
        <v>0</v>
      </c>
      <c r="Q691">
        <v>0</v>
      </c>
      <c r="R691">
        <v>1</v>
      </c>
      <c r="S691">
        <v>1</v>
      </c>
      <c r="T691">
        <v>0</v>
      </c>
      <c r="U691">
        <v>0</v>
      </c>
      <c r="V691" s="14" t="s">
        <v>747</v>
      </c>
    </row>
    <row r="692" spans="1:22" ht="14.25" customHeight="1" x14ac:dyDescent="0.25">
      <c r="A692" s="48" t="str">
        <f>LEFT(Tabelle1[[#This Row],[Artikel'#]],4)</f>
        <v>F046</v>
      </c>
      <c r="B692" s="46" t="str">
        <f>MID(Tabelle1[[#This Row],[Artikel'#]],5,3)</f>
        <v>138</v>
      </c>
      <c r="C692" s="48" t="str">
        <f>RIGHT(Tabelle1[[#This Row],[Artikel'#]],3)</f>
        <v>947</v>
      </c>
      <c r="D692" s="46">
        <f>IF(Tabelle1[[#This Row],[Winkel2]]=select!$A$2,1,0)</f>
        <v>1</v>
      </c>
      <c r="E69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2" s="46">
        <f>IF(select!$E$16=IF(Tabelle1[[#This Row],[mit Dämpfung]]=1,1,IF(Tabelle1[[#This Row],[ohne Dämpfung]]=1,2,IF(Tabelle1[[#This Row],[ohne Feder]]=1,3,0))),1,0)</f>
        <v>0</v>
      </c>
      <c r="G692" s="46">
        <f>IF(Tabelle1[[#This Row],[Links]]=select!$I$2,1,0)</f>
        <v>0</v>
      </c>
      <c r="H692" s="46">
        <f>IF(IF(Tabelle1[[#This Row],[Anschrauben]]=1,1,IF(Tabelle1[[#This Row],[Einpressen]]=1,2,IF(Tabelle1[[#This Row],[Werkzeuglos]]=1,3,0)))=select!$E$7,1,0)</f>
        <v>1</v>
      </c>
      <c r="I692" s="46">
        <f ca="1">IF(Tabelle1[[#This Row],[Winkel]]+Tabelle1[[#This Row],[Kröpfung]]+Tabelle1[[#This Row],[Däpfung]]+Tabelle1[[#This Row],[Bohrbild]]+Tabelle1[[#This Row],[Scharnierbefestigung]]=5,1,0)</f>
        <v>0</v>
      </c>
      <c r="J692" t="str">
        <f ca="1">Sprache!$A$57</f>
        <v>TIOMOS hinge TT-Click-on</v>
      </c>
      <c r="K692" t="str">
        <f ca="1">"110°, S-BB, K00, "&amp;Sprache!A59&amp;", ni"</f>
        <v>110°, S-BB, K00, Dowel, ni</v>
      </c>
      <c r="L692" t="str">
        <f ca="1">Sprache!$A$63</f>
        <v>TIOMOS Click-on hinges</v>
      </c>
      <c r="M692">
        <v>0</v>
      </c>
      <c r="N692" t="s">
        <v>15</v>
      </c>
      <c r="O692">
        <v>110</v>
      </c>
      <c r="P692">
        <v>0</v>
      </c>
      <c r="Q692">
        <v>0</v>
      </c>
      <c r="R692">
        <v>1</v>
      </c>
      <c r="S692">
        <v>0</v>
      </c>
      <c r="T692">
        <v>1</v>
      </c>
      <c r="U692">
        <v>0</v>
      </c>
      <c r="V692" s="14" t="s">
        <v>748</v>
      </c>
    </row>
    <row r="693" spans="1:22" ht="14.25" customHeight="1" x14ac:dyDescent="0.25">
      <c r="A693" s="48" t="str">
        <f>LEFT(Tabelle1[[#This Row],[Artikel'#]],4)</f>
        <v>F046</v>
      </c>
      <c r="B693" s="46" t="str">
        <f>MID(Tabelle1[[#This Row],[Artikel'#]],5,3)</f>
        <v>138</v>
      </c>
      <c r="C693" s="48" t="str">
        <f>RIGHT(Tabelle1[[#This Row],[Artikel'#]],3)</f>
        <v>948</v>
      </c>
      <c r="D693" s="46">
        <f>IF(Tabelle1[[#This Row],[Winkel2]]=select!$A$2,1,0)</f>
        <v>1</v>
      </c>
      <c r="E69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3" s="46">
        <f>IF(select!$E$16=IF(Tabelle1[[#This Row],[mit Dämpfung]]=1,1,IF(Tabelle1[[#This Row],[ohne Dämpfung]]=1,2,IF(Tabelle1[[#This Row],[ohne Feder]]=1,3,0))),1,0)</f>
        <v>0</v>
      </c>
      <c r="G693" s="46">
        <f>IF(Tabelle1[[#This Row],[Links]]=select!$I$2,1,0)</f>
        <v>0</v>
      </c>
      <c r="H693" s="46">
        <f>IF(IF(Tabelle1[[#This Row],[Anschrauben]]=1,1,IF(Tabelle1[[#This Row],[Einpressen]]=1,2,IF(Tabelle1[[#This Row],[Werkzeuglos]]=1,3,0)))=select!$E$7,1,0)</f>
        <v>1</v>
      </c>
      <c r="I693" s="46">
        <f ca="1">IF(Tabelle1[[#This Row],[Winkel]]+Tabelle1[[#This Row],[Kröpfung]]+Tabelle1[[#This Row],[Däpfung]]+Tabelle1[[#This Row],[Bohrbild]]+Tabelle1[[#This Row],[Scharnierbefestigung]]=5,1,0)</f>
        <v>0</v>
      </c>
      <c r="J693" t="str">
        <f ca="1">Sprache!$A$57</f>
        <v>TIOMOS hinge TT-Click-on</v>
      </c>
      <c r="K693" t="str">
        <f ca="1">"110°, S-BB, K03, "&amp;Sprache!A59&amp;", ni"</f>
        <v>110°, S-BB, K03, Dowel, ni</v>
      </c>
      <c r="L693" t="str">
        <f ca="1">Sprache!$A$63</f>
        <v>TIOMOS Click-on hinges</v>
      </c>
      <c r="M693">
        <v>3</v>
      </c>
      <c r="N693" t="s">
        <v>15</v>
      </c>
      <c r="O693">
        <v>110</v>
      </c>
      <c r="P693">
        <v>0</v>
      </c>
      <c r="Q693">
        <v>0</v>
      </c>
      <c r="R693">
        <v>1</v>
      </c>
      <c r="S693">
        <v>0</v>
      </c>
      <c r="T693">
        <v>1</v>
      </c>
      <c r="U693">
        <v>0</v>
      </c>
      <c r="V693" s="14" t="s">
        <v>749</v>
      </c>
    </row>
    <row r="694" spans="1:22" ht="14.25" customHeight="1" x14ac:dyDescent="0.25">
      <c r="A694" s="48" t="str">
        <f>LEFT(Tabelle1[[#This Row],[Artikel'#]],4)</f>
        <v>F046</v>
      </c>
      <c r="B694" s="46" t="str">
        <f>MID(Tabelle1[[#This Row],[Artikel'#]],5,3)</f>
        <v>138</v>
      </c>
      <c r="C694" s="48" t="str">
        <f>RIGHT(Tabelle1[[#This Row],[Artikel'#]],3)</f>
        <v>949</v>
      </c>
      <c r="D694" s="46">
        <f>IF(Tabelle1[[#This Row],[Winkel2]]=select!$A$2,1,0)</f>
        <v>1</v>
      </c>
      <c r="E69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94" s="46">
        <f>IF(select!$E$16=IF(Tabelle1[[#This Row],[mit Dämpfung]]=1,1,IF(Tabelle1[[#This Row],[ohne Dämpfung]]=1,2,IF(Tabelle1[[#This Row],[ohne Feder]]=1,3,0))),1,0)</f>
        <v>0</v>
      </c>
      <c r="G694" s="46">
        <f>IF(Tabelle1[[#This Row],[Links]]=select!$I$2,1,0)</f>
        <v>0</v>
      </c>
      <c r="H694" s="46">
        <f>IF(IF(Tabelle1[[#This Row],[Anschrauben]]=1,1,IF(Tabelle1[[#This Row],[Einpressen]]=1,2,IF(Tabelle1[[#This Row],[Werkzeuglos]]=1,3,0)))=select!$E$7,1,0)</f>
        <v>1</v>
      </c>
      <c r="I694" s="46">
        <f ca="1">IF(Tabelle1[[#This Row],[Winkel]]+Tabelle1[[#This Row],[Kröpfung]]+Tabelle1[[#This Row],[Däpfung]]+Tabelle1[[#This Row],[Bohrbild]]+Tabelle1[[#This Row],[Scharnierbefestigung]]=5,1,0)</f>
        <v>0</v>
      </c>
      <c r="J694" t="str">
        <f ca="1">Sprache!$A$57</f>
        <v>TIOMOS hinge TT-Click-on</v>
      </c>
      <c r="K694" t="str">
        <f ca="1">"110°, S-BB, K95, "&amp;Sprache!A59&amp;", ni"</f>
        <v>110°, S-BB, K95, Dowel, ni</v>
      </c>
      <c r="L694" t="str">
        <f ca="1">Sprache!$A$63</f>
        <v>TIOMOS Click-on hinges</v>
      </c>
      <c r="M694">
        <v>9.5</v>
      </c>
      <c r="N694" t="s">
        <v>15</v>
      </c>
      <c r="O694">
        <v>110</v>
      </c>
      <c r="P694">
        <v>0</v>
      </c>
      <c r="Q694">
        <v>0</v>
      </c>
      <c r="R694">
        <v>1</v>
      </c>
      <c r="S694">
        <v>0</v>
      </c>
      <c r="T694">
        <v>1</v>
      </c>
      <c r="U694">
        <v>0</v>
      </c>
      <c r="V694" s="14" t="s">
        <v>750</v>
      </c>
    </row>
    <row r="695" spans="1:22" ht="14.25" customHeight="1" x14ac:dyDescent="0.25">
      <c r="A695" s="48" t="str">
        <f>LEFT(Tabelle1[[#This Row],[Artikel'#]],4)</f>
        <v>F046</v>
      </c>
      <c r="B695" s="46" t="str">
        <f>MID(Tabelle1[[#This Row],[Artikel'#]],5,3)</f>
        <v>138</v>
      </c>
      <c r="C695" s="48" t="str">
        <f>RIGHT(Tabelle1[[#This Row],[Artikel'#]],3)</f>
        <v>950</v>
      </c>
      <c r="D695" s="46">
        <f>IF(Tabelle1[[#This Row],[Winkel2]]=select!$A$2,1,0)</f>
        <v>1</v>
      </c>
      <c r="E69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5" s="46">
        <f>IF(select!$E$16=IF(Tabelle1[[#This Row],[mit Dämpfung]]=1,1,IF(Tabelle1[[#This Row],[ohne Dämpfung]]=1,2,IF(Tabelle1[[#This Row],[ohne Feder]]=1,3,0))),1,0)</f>
        <v>0</v>
      </c>
      <c r="G695" s="46">
        <f>IF(Tabelle1[[#This Row],[Links]]=select!$I$2,1,0)</f>
        <v>0</v>
      </c>
      <c r="H695" s="46">
        <f>IF(IF(Tabelle1[[#This Row],[Anschrauben]]=1,1,IF(Tabelle1[[#This Row],[Einpressen]]=1,2,IF(Tabelle1[[#This Row],[Werkzeuglos]]=1,3,0)))=select!$E$7,1,0)</f>
        <v>1</v>
      </c>
      <c r="I695" s="46">
        <f ca="1">IF(Tabelle1[[#This Row],[Winkel]]+Tabelle1[[#This Row],[Kröpfung]]+Tabelle1[[#This Row],[Däpfung]]+Tabelle1[[#This Row],[Bohrbild]]+Tabelle1[[#This Row],[Scharnierbefestigung]]=5,1,0)</f>
        <v>0</v>
      </c>
      <c r="J695" t="str">
        <f ca="1">Sprache!$A$57</f>
        <v>TIOMOS hinge TT-Click-on</v>
      </c>
      <c r="K695" t="str">
        <f ca="1">"110°, S-BB, K19, "&amp;Sprache!A59&amp;", ni"</f>
        <v>110°, S-BB, K19, Dowel, ni</v>
      </c>
      <c r="L695" t="str">
        <f ca="1">Sprache!$A$63</f>
        <v>TIOMOS Click-on hinges</v>
      </c>
      <c r="M695">
        <v>19</v>
      </c>
      <c r="N695" t="s">
        <v>15</v>
      </c>
      <c r="O695">
        <v>110</v>
      </c>
      <c r="P695">
        <v>0</v>
      </c>
      <c r="Q695">
        <v>0</v>
      </c>
      <c r="R695">
        <v>1</v>
      </c>
      <c r="S695">
        <v>0</v>
      </c>
      <c r="T695">
        <v>1</v>
      </c>
      <c r="U695">
        <v>0</v>
      </c>
      <c r="V695" s="14" t="s">
        <v>751</v>
      </c>
    </row>
    <row r="696" spans="1:22" ht="14.25" customHeight="1" x14ac:dyDescent="0.25">
      <c r="A696" s="48" t="str">
        <f>LEFT(Tabelle1[[#This Row],[Artikel'#]],4)</f>
        <v>F046</v>
      </c>
      <c r="B696" s="46" t="str">
        <f>MID(Tabelle1[[#This Row],[Artikel'#]],5,3)</f>
        <v>138</v>
      </c>
      <c r="C696" s="48" t="str">
        <f>RIGHT(Tabelle1[[#This Row],[Artikel'#]],3)</f>
        <v>971</v>
      </c>
      <c r="D696" s="46">
        <f>IF(Tabelle1[[#This Row],[Winkel2]]=select!$A$2,1,0)</f>
        <v>0</v>
      </c>
      <c r="E69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6" s="46">
        <f>IF(select!$E$16=IF(Tabelle1[[#This Row],[mit Dämpfung]]=1,1,IF(Tabelle1[[#This Row],[ohne Dämpfung]]=1,2,IF(Tabelle1[[#This Row],[ohne Feder]]=1,3,0))),1,0)</f>
        <v>0</v>
      </c>
      <c r="G696" s="46">
        <f>IF(Tabelle1[[#This Row],[Links]]=select!$I$2,1,0)</f>
        <v>0</v>
      </c>
      <c r="H696" s="46">
        <f>IF(IF(Tabelle1[[#This Row],[Anschrauben]]=1,1,IF(Tabelle1[[#This Row],[Einpressen]]=1,2,IF(Tabelle1[[#This Row],[Werkzeuglos]]=1,3,0)))=select!$E$7,1,0)</f>
        <v>0</v>
      </c>
      <c r="I696" s="46">
        <f ca="1">IF(Tabelle1[[#This Row],[Winkel]]+Tabelle1[[#This Row],[Kröpfung]]+Tabelle1[[#This Row],[Däpfung]]+Tabelle1[[#This Row],[Bohrbild]]+Tabelle1[[#This Row],[Scharnierbefestigung]]=5,1,0)</f>
        <v>0</v>
      </c>
      <c r="J696" t="str">
        <f ca="1">Sprache!$A$57</f>
        <v>TIOMOS hinge TT-Click-on</v>
      </c>
      <c r="K696" t="s">
        <v>436</v>
      </c>
      <c r="L696" t="str">
        <f ca="1">Sprache!$A$63</f>
        <v>TIOMOS Click-on hinges</v>
      </c>
      <c r="M696">
        <v>0</v>
      </c>
      <c r="N696" t="s">
        <v>15</v>
      </c>
      <c r="O696">
        <v>120</v>
      </c>
      <c r="P696">
        <v>0</v>
      </c>
      <c r="Q696">
        <v>0</v>
      </c>
      <c r="R696">
        <v>1</v>
      </c>
      <c r="S696">
        <v>1</v>
      </c>
      <c r="T696">
        <v>0</v>
      </c>
      <c r="U696">
        <v>0</v>
      </c>
      <c r="V696" s="14" t="s">
        <v>752</v>
      </c>
    </row>
    <row r="697" spans="1:22" ht="14.25" customHeight="1" x14ac:dyDescent="0.25">
      <c r="A697" s="48" t="str">
        <f>LEFT(Tabelle1[[#This Row],[Artikel'#]],4)</f>
        <v>F046</v>
      </c>
      <c r="B697" s="46" t="str">
        <f>MID(Tabelle1[[#This Row],[Artikel'#]],5,3)</f>
        <v>138</v>
      </c>
      <c r="C697" s="48" t="str">
        <f>RIGHT(Tabelle1[[#This Row],[Artikel'#]],3)</f>
        <v>972</v>
      </c>
      <c r="D697" s="46">
        <f>IF(Tabelle1[[#This Row],[Winkel2]]=select!$A$2,1,0)</f>
        <v>0</v>
      </c>
      <c r="E69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7" s="46">
        <f>IF(select!$E$16=IF(Tabelle1[[#This Row],[mit Dämpfung]]=1,1,IF(Tabelle1[[#This Row],[ohne Dämpfung]]=1,2,IF(Tabelle1[[#This Row],[ohne Feder]]=1,3,0))),1,0)</f>
        <v>0</v>
      </c>
      <c r="G697" s="46">
        <f>IF(Tabelle1[[#This Row],[Links]]=select!$I$2,1,0)</f>
        <v>0</v>
      </c>
      <c r="H697" s="46">
        <f>IF(IF(Tabelle1[[#This Row],[Anschrauben]]=1,1,IF(Tabelle1[[#This Row],[Einpressen]]=1,2,IF(Tabelle1[[#This Row],[Werkzeuglos]]=1,3,0)))=select!$E$7,1,0)</f>
        <v>0</v>
      </c>
      <c r="I697" s="46">
        <f ca="1">IF(Tabelle1[[#This Row],[Winkel]]+Tabelle1[[#This Row],[Kröpfung]]+Tabelle1[[#This Row],[Däpfung]]+Tabelle1[[#This Row],[Bohrbild]]+Tabelle1[[#This Row],[Scharnierbefestigung]]=5,1,0)</f>
        <v>0</v>
      </c>
      <c r="J697" t="str">
        <f ca="1">Sprache!$A$57</f>
        <v>TIOMOS hinge TT-Click-on</v>
      </c>
      <c r="K697" t="s">
        <v>438</v>
      </c>
      <c r="L697" t="str">
        <f ca="1">Sprache!$A$63</f>
        <v>TIOMOS Click-on hinges</v>
      </c>
      <c r="M697">
        <v>3</v>
      </c>
      <c r="N697" t="s">
        <v>15</v>
      </c>
      <c r="O697">
        <v>120</v>
      </c>
      <c r="P697">
        <v>0</v>
      </c>
      <c r="Q697">
        <v>0</v>
      </c>
      <c r="R697">
        <v>1</v>
      </c>
      <c r="S697">
        <v>1</v>
      </c>
      <c r="T697">
        <v>0</v>
      </c>
      <c r="U697">
        <v>0</v>
      </c>
      <c r="V697" s="14" t="s">
        <v>753</v>
      </c>
    </row>
    <row r="698" spans="1:22" ht="14.25" customHeight="1" x14ac:dyDescent="0.25">
      <c r="A698" s="48" t="str">
        <f>LEFT(Tabelle1[[#This Row],[Artikel'#]],4)</f>
        <v>F046</v>
      </c>
      <c r="B698" s="46" t="str">
        <f>MID(Tabelle1[[#This Row],[Artikel'#]],5,3)</f>
        <v>138</v>
      </c>
      <c r="C698" s="48" t="str">
        <f>RIGHT(Tabelle1[[#This Row],[Artikel'#]],3)</f>
        <v>973</v>
      </c>
      <c r="D698" s="46">
        <f>IF(Tabelle1[[#This Row],[Winkel2]]=select!$A$2,1,0)</f>
        <v>0</v>
      </c>
      <c r="E69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698" s="46">
        <f>IF(select!$E$16=IF(Tabelle1[[#This Row],[mit Dämpfung]]=1,1,IF(Tabelle1[[#This Row],[ohne Dämpfung]]=1,2,IF(Tabelle1[[#This Row],[ohne Feder]]=1,3,0))),1,0)</f>
        <v>0</v>
      </c>
      <c r="G698" s="46">
        <f>IF(Tabelle1[[#This Row],[Links]]=select!$I$2,1,0)</f>
        <v>0</v>
      </c>
      <c r="H698" s="46">
        <f>IF(IF(Tabelle1[[#This Row],[Anschrauben]]=1,1,IF(Tabelle1[[#This Row],[Einpressen]]=1,2,IF(Tabelle1[[#This Row],[Werkzeuglos]]=1,3,0)))=select!$E$7,1,0)</f>
        <v>0</v>
      </c>
      <c r="I698" s="46">
        <f ca="1">IF(Tabelle1[[#This Row],[Winkel]]+Tabelle1[[#This Row],[Kröpfung]]+Tabelle1[[#This Row],[Däpfung]]+Tabelle1[[#This Row],[Bohrbild]]+Tabelle1[[#This Row],[Scharnierbefestigung]]=5,1,0)</f>
        <v>0</v>
      </c>
      <c r="J698" t="str">
        <f ca="1">Sprache!$A$57</f>
        <v>TIOMOS hinge TT-Click-on</v>
      </c>
      <c r="K698" t="s">
        <v>440</v>
      </c>
      <c r="L698" t="str">
        <f ca="1">Sprache!$A$63</f>
        <v>TIOMOS Click-on hinges</v>
      </c>
      <c r="M698">
        <v>9.5</v>
      </c>
      <c r="N698" t="s">
        <v>15</v>
      </c>
      <c r="O698">
        <v>120</v>
      </c>
      <c r="P698">
        <v>0</v>
      </c>
      <c r="Q698">
        <v>0</v>
      </c>
      <c r="R698">
        <v>1</v>
      </c>
      <c r="S698">
        <v>1</v>
      </c>
      <c r="T698">
        <v>0</v>
      </c>
      <c r="U698">
        <v>0</v>
      </c>
      <c r="V698" s="14" t="s">
        <v>754</v>
      </c>
    </row>
    <row r="699" spans="1:22" ht="14.25" customHeight="1" x14ac:dyDescent="0.25">
      <c r="A699" s="48" t="str">
        <f>LEFT(Tabelle1[[#This Row],[Artikel'#]],4)</f>
        <v>F046</v>
      </c>
      <c r="B699" s="46" t="str">
        <f>MID(Tabelle1[[#This Row],[Artikel'#]],5,3)</f>
        <v>138</v>
      </c>
      <c r="C699" s="48" t="str">
        <f>RIGHT(Tabelle1[[#This Row],[Artikel'#]],3)</f>
        <v>975</v>
      </c>
      <c r="D699" s="46">
        <f>IF(Tabelle1[[#This Row],[Winkel2]]=select!$A$2,1,0)</f>
        <v>0</v>
      </c>
      <c r="E69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699" s="46">
        <f>IF(select!$E$16=IF(Tabelle1[[#This Row],[mit Dämpfung]]=1,1,IF(Tabelle1[[#This Row],[ohne Dämpfung]]=1,2,IF(Tabelle1[[#This Row],[ohne Feder]]=1,3,0))),1,0)</f>
        <v>0</v>
      </c>
      <c r="G699" s="46">
        <f>IF(Tabelle1[[#This Row],[Links]]=select!$I$2,1,0)</f>
        <v>0</v>
      </c>
      <c r="H699" s="46">
        <f>IF(IF(Tabelle1[[#This Row],[Anschrauben]]=1,1,IF(Tabelle1[[#This Row],[Einpressen]]=1,2,IF(Tabelle1[[#This Row],[Werkzeuglos]]=1,3,0)))=select!$E$7,1,0)</f>
        <v>1</v>
      </c>
      <c r="I699" s="46">
        <f ca="1">IF(Tabelle1[[#This Row],[Winkel]]+Tabelle1[[#This Row],[Kröpfung]]+Tabelle1[[#This Row],[Däpfung]]+Tabelle1[[#This Row],[Bohrbild]]+Tabelle1[[#This Row],[Scharnierbefestigung]]=5,1,0)</f>
        <v>0</v>
      </c>
      <c r="J699" t="str">
        <f ca="1">Sprache!$A$57</f>
        <v>TIOMOS hinge TT-Click-on</v>
      </c>
      <c r="K699" t="str">
        <f ca="1">"120°, S-BB, K00, "&amp;Sprache!A59&amp;", ni"</f>
        <v>120°, S-BB, K00, Dowel, ni</v>
      </c>
      <c r="L699" t="str">
        <f ca="1">Sprache!$A$63</f>
        <v>TIOMOS Click-on hinges</v>
      </c>
      <c r="M699">
        <v>0</v>
      </c>
      <c r="N699" t="s">
        <v>15</v>
      </c>
      <c r="O699">
        <v>120</v>
      </c>
      <c r="P699">
        <v>0</v>
      </c>
      <c r="Q699">
        <v>0</v>
      </c>
      <c r="R699">
        <v>1</v>
      </c>
      <c r="S699">
        <v>0</v>
      </c>
      <c r="T699">
        <v>1</v>
      </c>
      <c r="U699">
        <v>0</v>
      </c>
      <c r="V699" s="14" t="s">
        <v>755</v>
      </c>
    </row>
    <row r="700" spans="1:22" ht="14.25" customHeight="1" x14ac:dyDescent="0.25">
      <c r="A700" s="48" t="str">
        <f>LEFT(Tabelle1[[#This Row],[Artikel'#]],4)</f>
        <v>F046</v>
      </c>
      <c r="B700" s="46" t="str">
        <f>MID(Tabelle1[[#This Row],[Artikel'#]],5,3)</f>
        <v>138</v>
      </c>
      <c r="C700" s="48" t="str">
        <f>RIGHT(Tabelle1[[#This Row],[Artikel'#]],3)</f>
        <v>976</v>
      </c>
      <c r="D700" s="46">
        <f>IF(Tabelle1[[#This Row],[Winkel2]]=select!$A$2,1,0)</f>
        <v>0</v>
      </c>
      <c r="E70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0" s="46">
        <f>IF(select!$E$16=IF(Tabelle1[[#This Row],[mit Dämpfung]]=1,1,IF(Tabelle1[[#This Row],[ohne Dämpfung]]=1,2,IF(Tabelle1[[#This Row],[ohne Feder]]=1,3,0))),1,0)</f>
        <v>0</v>
      </c>
      <c r="G700" s="46">
        <f>IF(Tabelle1[[#This Row],[Links]]=select!$I$2,1,0)</f>
        <v>0</v>
      </c>
      <c r="H700" s="46">
        <f>IF(IF(Tabelle1[[#This Row],[Anschrauben]]=1,1,IF(Tabelle1[[#This Row],[Einpressen]]=1,2,IF(Tabelle1[[#This Row],[Werkzeuglos]]=1,3,0)))=select!$E$7,1,0)</f>
        <v>1</v>
      </c>
      <c r="I700" s="46">
        <f ca="1">IF(Tabelle1[[#This Row],[Winkel]]+Tabelle1[[#This Row],[Kröpfung]]+Tabelle1[[#This Row],[Däpfung]]+Tabelle1[[#This Row],[Bohrbild]]+Tabelle1[[#This Row],[Scharnierbefestigung]]=5,1,0)</f>
        <v>0</v>
      </c>
      <c r="J700" t="str">
        <f ca="1">Sprache!$A$57</f>
        <v>TIOMOS hinge TT-Click-on</v>
      </c>
      <c r="K700" t="str">
        <f ca="1">"120°, S-BB, K03, "&amp;Sprache!A59&amp;", ni"</f>
        <v>120°, S-BB, K03, Dowel, ni</v>
      </c>
      <c r="L700" t="str">
        <f ca="1">Sprache!$A$63</f>
        <v>TIOMOS Click-on hinges</v>
      </c>
      <c r="M700">
        <v>3</v>
      </c>
      <c r="N700" t="s">
        <v>15</v>
      </c>
      <c r="O700">
        <v>120</v>
      </c>
      <c r="P700">
        <v>0</v>
      </c>
      <c r="Q700">
        <v>0</v>
      </c>
      <c r="R700">
        <v>1</v>
      </c>
      <c r="S700">
        <v>0</v>
      </c>
      <c r="T700">
        <v>1</v>
      </c>
      <c r="U700">
        <v>0</v>
      </c>
      <c r="V700" s="14" t="s">
        <v>756</v>
      </c>
    </row>
    <row r="701" spans="1:22" ht="14.25" customHeight="1" x14ac:dyDescent="0.25">
      <c r="A701" s="48" t="str">
        <f>LEFT(Tabelle1[[#This Row],[Artikel'#]],4)</f>
        <v>F046</v>
      </c>
      <c r="B701" s="46" t="str">
        <f>MID(Tabelle1[[#This Row],[Artikel'#]],5,3)</f>
        <v>138</v>
      </c>
      <c r="C701" s="48" t="str">
        <f>RIGHT(Tabelle1[[#This Row],[Artikel'#]],3)</f>
        <v>977</v>
      </c>
      <c r="D701" s="46">
        <f>IF(Tabelle1[[#This Row],[Winkel2]]=select!$A$2,1,0)</f>
        <v>0</v>
      </c>
      <c r="E70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01" s="46">
        <f>IF(select!$E$16=IF(Tabelle1[[#This Row],[mit Dämpfung]]=1,1,IF(Tabelle1[[#This Row],[ohne Dämpfung]]=1,2,IF(Tabelle1[[#This Row],[ohne Feder]]=1,3,0))),1,0)</f>
        <v>0</v>
      </c>
      <c r="G701" s="46">
        <f>IF(Tabelle1[[#This Row],[Links]]=select!$I$2,1,0)</f>
        <v>0</v>
      </c>
      <c r="H701" s="46">
        <f>IF(IF(Tabelle1[[#This Row],[Anschrauben]]=1,1,IF(Tabelle1[[#This Row],[Einpressen]]=1,2,IF(Tabelle1[[#This Row],[Werkzeuglos]]=1,3,0)))=select!$E$7,1,0)</f>
        <v>1</v>
      </c>
      <c r="I701" s="46">
        <f ca="1">IF(Tabelle1[[#This Row],[Winkel]]+Tabelle1[[#This Row],[Kröpfung]]+Tabelle1[[#This Row],[Däpfung]]+Tabelle1[[#This Row],[Bohrbild]]+Tabelle1[[#This Row],[Scharnierbefestigung]]=5,1,0)</f>
        <v>0</v>
      </c>
      <c r="J701" t="str">
        <f ca="1">Sprache!$A$57</f>
        <v>TIOMOS hinge TT-Click-on</v>
      </c>
      <c r="K701" t="str">
        <f ca="1">"120°, S-BB, K95, "&amp;Sprache!A59&amp;", ni"</f>
        <v>120°, S-BB, K95, Dowel, ni</v>
      </c>
      <c r="L701" t="str">
        <f ca="1">Sprache!$A$63</f>
        <v>TIOMOS Click-on hinges</v>
      </c>
      <c r="M701">
        <v>9.5</v>
      </c>
      <c r="N701" t="s">
        <v>15</v>
      </c>
      <c r="O701">
        <v>120</v>
      </c>
      <c r="P701">
        <v>0</v>
      </c>
      <c r="Q701">
        <v>0</v>
      </c>
      <c r="R701">
        <v>1</v>
      </c>
      <c r="S701">
        <v>0</v>
      </c>
      <c r="T701">
        <v>1</v>
      </c>
      <c r="U701">
        <v>0</v>
      </c>
      <c r="V701" s="14" t="s">
        <v>757</v>
      </c>
    </row>
    <row r="702" spans="1:22" ht="14.25" customHeight="1" x14ac:dyDescent="0.25">
      <c r="A702" s="48" t="str">
        <f>LEFT(Tabelle1[[#This Row],[Artikel'#]],4)</f>
        <v>F046</v>
      </c>
      <c r="B702" s="46" t="str">
        <f>MID(Tabelle1[[#This Row],[Artikel'#]],5,3)</f>
        <v>138</v>
      </c>
      <c r="C702" s="48" t="str">
        <f>RIGHT(Tabelle1[[#This Row],[Artikel'#]],3)</f>
        <v>985</v>
      </c>
      <c r="D702" s="46">
        <f>IF(Tabelle1[[#This Row],[Winkel2]]=select!$A$2,1,0)</f>
        <v>0</v>
      </c>
      <c r="E70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2" s="46">
        <f>IF(select!$E$16=IF(Tabelle1[[#This Row],[mit Dämpfung]]=1,1,IF(Tabelle1[[#This Row],[ohne Dämpfung]]=1,2,IF(Tabelle1[[#This Row],[ohne Feder]]=1,3,0))),1,0)</f>
        <v>0</v>
      </c>
      <c r="G702" s="46">
        <f>IF(Tabelle1[[#This Row],[Links]]=select!$I$2,1,0)</f>
        <v>0</v>
      </c>
      <c r="H702" s="46">
        <f>IF(IF(Tabelle1[[#This Row],[Anschrauben]]=1,1,IF(Tabelle1[[#This Row],[Einpressen]]=1,2,IF(Tabelle1[[#This Row],[Werkzeuglos]]=1,3,0)))=select!$E$7,1,0)</f>
        <v>0</v>
      </c>
      <c r="I702" s="46">
        <f ca="1">IF(Tabelle1[[#This Row],[Winkel]]+Tabelle1[[#This Row],[Kröpfung]]+Tabelle1[[#This Row],[Däpfung]]+Tabelle1[[#This Row],[Bohrbild]]+Tabelle1[[#This Row],[Scharnierbefestigung]]=5,1,0)</f>
        <v>0</v>
      </c>
      <c r="J702" t="str">
        <f ca="1">Sprache!$A$57</f>
        <v>TIOMOS hinge TT-Click-on</v>
      </c>
      <c r="K702" t="s">
        <v>445</v>
      </c>
      <c r="L702" t="str">
        <f ca="1">Sprache!$A$63</f>
        <v>TIOMOS Click-on hinges</v>
      </c>
      <c r="M702">
        <v>0</v>
      </c>
      <c r="N702" s="13" t="s">
        <v>15</v>
      </c>
      <c r="O702">
        <v>160</v>
      </c>
      <c r="P702">
        <v>0</v>
      </c>
      <c r="Q702">
        <v>0</v>
      </c>
      <c r="R702">
        <v>1</v>
      </c>
      <c r="S702">
        <v>1</v>
      </c>
      <c r="T702">
        <v>0</v>
      </c>
      <c r="U702">
        <v>0</v>
      </c>
      <c r="V702" s="14" t="s">
        <v>758</v>
      </c>
    </row>
    <row r="703" spans="1:22" ht="14.25" customHeight="1" x14ac:dyDescent="0.25">
      <c r="A703" s="48" t="str">
        <f>LEFT(Tabelle1[[#This Row],[Artikel'#]],4)</f>
        <v>F046</v>
      </c>
      <c r="B703" s="46" t="str">
        <f>MID(Tabelle1[[#This Row],[Artikel'#]],5,3)</f>
        <v>138</v>
      </c>
      <c r="C703" s="48" t="str">
        <f>RIGHT(Tabelle1[[#This Row],[Artikel'#]],3)</f>
        <v>986</v>
      </c>
      <c r="D703" s="46">
        <f>IF(Tabelle1[[#This Row],[Winkel2]]=select!$A$2,1,0)</f>
        <v>0</v>
      </c>
      <c r="E70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3" s="46">
        <f>IF(select!$E$16=IF(Tabelle1[[#This Row],[mit Dämpfung]]=1,1,IF(Tabelle1[[#This Row],[ohne Dämpfung]]=1,2,IF(Tabelle1[[#This Row],[ohne Feder]]=1,3,0))),1,0)</f>
        <v>0</v>
      </c>
      <c r="G703" s="46">
        <f>IF(Tabelle1[[#This Row],[Links]]=select!$I$2,1,0)</f>
        <v>0</v>
      </c>
      <c r="H703" s="46">
        <f>IF(IF(Tabelle1[[#This Row],[Anschrauben]]=1,1,IF(Tabelle1[[#This Row],[Einpressen]]=1,2,IF(Tabelle1[[#This Row],[Werkzeuglos]]=1,3,0)))=select!$E$7,1,0)</f>
        <v>0</v>
      </c>
      <c r="I703" s="46">
        <f ca="1">IF(Tabelle1[[#This Row],[Winkel]]+Tabelle1[[#This Row],[Kröpfung]]+Tabelle1[[#This Row],[Däpfung]]+Tabelle1[[#This Row],[Bohrbild]]+Tabelle1[[#This Row],[Scharnierbefestigung]]=5,1,0)</f>
        <v>0</v>
      </c>
      <c r="J703" t="str">
        <f ca="1">Sprache!$A$57</f>
        <v>TIOMOS hinge TT-Click-on</v>
      </c>
      <c r="K703" t="s">
        <v>447</v>
      </c>
      <c r="L703" t="str">
        <f ca="1">Sprache!$A$63</f>
        <v>TIOMOS Click-on hinges</v>
      </c>
      <c r="M703">
        <v>3</v>
      </c>
      <c r="N703" t="s">
        <v>15</v>
      </c>
      <c r="O703">
        <v>160</v>
      </c>
      <c r="P703">
        <v>0</v>
      </c>
      <c r="Q703">
        <v>0</v>
      </c>
      <c r="R703">
        <v>1</v>
      </c>
      <c r="S703">
        <v>1</v>
      </c>
      <c r="T703">
        <v>0</v>
      </c>
      <c r="U703">
        <v>0</v>
      </c>
      <c r="V703" s="14" t="s">
        <v>759</v>
      </c>
    </row>
    <row r="704" spans="1:22" ht="14.25" customHeight="1" x14ac:dyDescent="0.25">
      <c r="A704" s="48" t="str">
        <f>LEFT(Tabelle1[[#This Row],[Artikel'#]],4)</f>
        <v>F046</v>
      </c>
      <c r="B704" s="46" t="str">
        <f>MID(Tabelle1[[#This Row],[Artikel'#]],5,3)</f>
        <v>138</v>
      </c>
      <c r="C704" s="48" t="str">
        <f>RIGHT(Tabelle1[[#This Row],[Artikel'#]],3)</f>
        <v>987</v>
      </c>
      <c r="D704" s="46">
        <f>IF(Tabelle1[[#This Row],[Winkel2]]=select!$A$2,1,0)</f>
        <v>0</v>
      </c>
      <c r="E70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04" s="46">
        <f>IF(select!$E$16=IF(Tabelle1[[#This Row],[mit Dämpfung]]=1,1,IF(Tabelle1[[#This Row],[ohne Dämpfung]]=1,2,IF(Tabelle1[[#This Row],[ohne Feder]]=1,3,0))),1,0)</f>
        <v>0</v>
      </c>
      <c r="G704" s="46">
        <f>IF(Tabelle1[[#This Row],[Links]]=select!$I$2,1,0)</f>
        <v>0</v>
      </c>
      <c r="H704" s="46">
        <f>IF(IF(Tabelle1[[#This Row],[Anschrauben]]=1,1,IF(Tabelle1[[#This Row],[Einpressen]]=1,2,IF(Tabelle1[[#This Row],[Werkzeuglos]]=1,3,0)))=select!$E$7,1,0)</f>
        <v>0</v>
      </c>
      <c r="I704" s="46">
        <f ca="1">IF(Tabelle1[[#This Row],[Winkel]]+Tabelle1[[#This Row],[Kröpfung]]+Tabelle1[[#This Row],[Däpfung]]+Tabelle1[[#This Row],[Bohrbild]]+Tabelle1[[#This Row],[Scharnierbefestigung]]=5,1,0)</f>
        <v>0</v>
      </c>
      <c r="J704" t="str">
        <f ca="1">Sprache!$A$57</f>
        <v>TIOMOS hinge TT-Click-on</v>
      </c>
      <c r="K704" t="s">
        <v>449</v>
      </c>
      <c r="L704" t="str">
        <f ca="1">Sprache!$A$63</f>
        <v>TIOMOS Click-on hinges</v>
      </c>
      <c r="M704">
        <v>9.5</v>
      </c>
      <c r="N704" t="s">
        <v>15</v>
      </c>
      <c r="O704">
        <v>160</v>
      </c>
      <c r="P704">
        <v>0</v>
      </c>
      <c r="Q704">
        <v>0</v>
      </c>
      <c r="R704">
        <v>1</v>
      </c>
      <c r="S704">
        <v>1</v>
      </c>
      <c r="T704">
        <v>0</v>
      </c>
      <c r="U704">
        <v>0</v>
      </c>
      <c r="V704" s="14" t="s">
        <v>760</v>
      </c>
    </row>
    <row r="705" spans="1:22" ht="14.25" customHeight="1" x14ac:dyDescent="0.25">
      <c r="A705" s="48" t="str">
        <f>LEFT(Tabelle1[[#This Row],[Artikel'#]],4)</f>
        <v>F046</v>
      </c>
      <c r="B705" s="46" t="str">
        <f>MID(Tabelle1[[#This Row],[Artikel'#]],5,3)</f>
        <v>138</v>
      </c>
      <c r="C705" s="48" t="str">
        <f>RIGHT(Tabelle1[[#This Row],[Artikel'#]],3)</f>
        <v>988</v>
      </c>
      <c r="D705" s="46">
        <f>IF(Tabelle1[[#This Row],[Winkel2]]=select!$A$2,1,0)</f>
        <v>0</v>
      </c>
      <c r="E70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5" s="46">
        <f>IF(select!$E$16=IF(Tabelle1[[#This Row],[mit Dämpfung]]=1,1,IF(Tabelle1[[#This Row],[ohne Dämpfung]]=1,2,IF(Tabelle1[[#This Row],[ohne Feder]]=1,3,0))),1,0)</f>
        <v>0</v>
      </c>
      <c r="G705" s="46">
        <f>IF(Tabelle1[[#This Row],[Links]]=select!$I$2,1,0)</f>
        <v>0</v>
      </c>
      <c r="H705" s="46">
        <f>IF(IF(Tabelle1[[#This Row],[Anschrauben]]=1,1,IF(Tabelle1[[#This Row],[Einpressen]]=1,2,IF(Tabelle1[[#This Row],[Werkzeuglos]]=1,3,0)))=select!$E$7,1,0)</f>
        <v>1</v>
      </c>
      <c r="I705" s="46">
        <f ca="1">IF(Tabelle1[[#This Row],[Winkel]]+Tabelle1[[#This Row],[Kröpfung]]+Tabelle1[[#This Row],[Däpfung]]+Tabelle1[[#This Row],[Bohrbild]]+Tabelle1[[#This Row],[Scharnierbefestigung]]=5,1,0)</f>
        <v>0</v>
      </c>
      <c r="J705" t="str">
        <f ca="1">Sprache!$A$57</f>
        <v>TIOMOS hinge TT-Click-on</v>
      </c>
      <c r="K705" t="str">
        <f ca="1">"160°, S-BB, K00, "&amp;Sprache!A59&amp;", ni"</f>
        <v>160°, S-BB, K00, Dowel, ni</v>
      </c>
      <c r="L705" t="str">
        <f ca="1">Sprache!$A$63</f>
        <v>TIOMOS Click-on hinges</v>
      </c>
      <c r="M705">
        <v>0</v>
      </c>
      <c r="N705" s="13" t="s">
        <v>15</v>
      </c>
      <c r="O705">
        <v>160</v>
      </c>
      <c r="P705">
        <v>0</v>
      </c>
      <c r="Q705">
        <v>0</v>
      </c>
      <c r="R705">
        <v>1</v>
      </c>
      <c r="S705">
        <v>0</v>
      </c>
      <c r="T705">
        <v>1</v>
      </c>
      <c r="U705">
        <v>0</v>
      </c>
      <c r="V705" s="14" t="s">
        <v>761</v>
      </c>
    </row>
    <row r="706" spans="1:22" ht="14.25" customHeight="1" x14ac:dyDescent="0.25">
      <c r="A706" s="48" t="str">
        <f>LEFT(Tabelle1[[#This Row],[Artikel'#]],4)</f>
        <v>F046</v>
      </c>
      <c r="B706" s="46" t="str">
        <f>MID(Tabelle1[[#This Row],[Artikel'#]],5,3)</f>
        <v>138</v>
      </c>
      <c r="C706" s="48" t="str">
        <f>RIGHT(Tabelle1[[#This Row],[Artikel'#]],3)</f>
        <v>989</v>
      </c>
      <c r="D706" s="46">
        <f>IF(Tabelle1[[#This Row],[Winkel2]]=select!$A$2,1,0)</f>
        <v>0</v>
      </c>
      <c r="E70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6" s="46">
        <f>IF(select!$E$16=IF(Tabelle1[[#This Row],[mit Dämpfung]]=1,1,IF(Tabelle1[[#This Row],[ohne Dämpfung]]=1,2,IF(Tabelle1[[#This Row],[ohne Feder]]=1,3,0))),1,0)</f>
        <v>0</v>
      </c>
      <c r="G706" s="46">
        <f>IF(Tabelle1[[#This Row],[Links]]=select!$I$2,1,0)</f>
        <v>0</v>
      </c>
      <c r="H706" s="46">
        <f>IF(IF(Tabelle1[[#This Row],[Anschrauben]]=1,1,IF(Tabelle1[[#This Row],[Einpressen]]=1,2,IF(Tabelle1[[#This Row],[Werkzeuglos]]=1,3,0)))=select!$E$7,1,0)</f>
        <v>1</v>
      </c>
      <c r="I706" s="46">
        <f ca="1">IF(Tabelle1[[#This Row],[Winkel]]+Tabelle1[[#This Row],[Kröpfung]]+Tabelle1[[#This Row],[Däpfung]]+Tabelle1[[#This Row],[Bohrbild]]+Tabelle1[[#This Row],[Scharnierbefestigung]]=5,1,0)</f>
        <v>0</v>
      </c>
      <c r="J706" t="str">
        <f ca="1">Sprache!$A$57</f>
        <v>TIOMOS hinge TT-Click-on</v>
      </c>
      <c r="K706" t="str">
        <f ca="1">"160°, S-BB, K03, "&amp;Sprache!A59&amp;", ni"</f>
        <v>160°, S-BB, K03, Dowel, ni</v>
      </c>
      <c r="L706" t="str">
        <f ca="1">Sprache!$A$63</f>
        <v>TIOMOS Click-on hinges</v>
      </c>
      <c r="M706">
        <v>3</v>
      </c>
      <c r="N706" t="s">
        <v>15</v>
      </c>
      <c r="O706">
        <v>160</v>
      </c>
      <c r="P706">
        <v>0</v>
      </c>
      <c r="Q706">
        <v>0</v>
      </c>
      <c r="R706">
        <v>1</v>
      </c>
      <c r="S706">
        <v>0</v>
      </c>
      <c r="T706">
        <v>1</v>
      </c>
      <c r="U706">
        <v>0</v>
      </c>
      <c r="V706" s="14" t="s">
        <v>762</v>
      </c>
    </row>
    <row r="707" spans="1:22" ht="14.25" customHeight="1" x14ac:dyDescent="0.25">
      <c r="A707" s="48" t="str">
        <f>LEFT(Tabelle1[[#This Row],[Artikel'#]],4)</f>
        <v>F046</v>
      </c>
      <c r="B707" s="46" t="str">
        <f>MID(Tabelle1[[#This Row],[Artikel'#]],5,3)</f>
        <v>138</v>
      </c>
      <c r="C707" s="48" t="str">
        <f>RIGHT(Tabelle1[[#This Row],[Artikel'#]],3)</f>
        <v>990</v>
      </c>
      <c r="D707" s="46">
        <f>IF(Tabelle1[[#This Row],[Winkel2]]=select!$A$2,1,0)</f>
        <v>0</v>
      </c>
      <c r="E70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07" s="46">
        <f>IF(select!$E$16=IF(Tabelle1[[#This Row],[mit Dämpfung]]=1,1,IF(Tabelle1[[#This Row],[ohne Dämpfung]]=1,2,IF(Tabelle1[[#This Row],[ohne Feder]]=1,3,0))),1,0)</f>
        <v>0</v>
      </c>
      <c r="G707" s="46">
        <f>IF(Tabelle1[[#This Row],[Links]]=select!$I$2,1,0)</f>
        <v>0</v>
      </c>
      <c r="H707" s="46">
        <f>IF(IF(Tabelle1[[#This Row],[Anschrauben]]=1,1,IF(Tabelle1[[#This Row],[Einpressen]]=1,2,IF(Tabelle1[[#This Row],[Werkzeuglos]]=1,3,0)))=select!$E$7,1,0)</f>
        <v>1</v>
      </c>
      <c r="I707" s="46">
        <f ca="1">IF(Tabelle1[[#This Row],[Winkel]]+Tabelle1[[#This Row],[Kröpfung]]+Tabelle1[[#This Row],[Däpfung]]+Tabelle1[[#This Row],[Bohrbild]]+Tabelle1[[#This Row],[Scharnierbefestigung]]=5,1,0)</f>
        <v>0</v>
      </c>
      <c r="J707" t="str">
        <f ca="1">Sprache!$A$57</f>
        <v>TIOMOS hinge TT-Click-on</v>
      </c>
      <c r="K707" t="str">
        <f ca="1">"160°, S-BB, K95, "&amp;Sprache!A59&amp;", ni"</f>
        <v>160°, S-BB, K95, Dowel, ni</v>
      </c>
      <c r="L707" t="str">
        <f ca="1">Sprache!$A$63</f>
        <v>TIOMOS Click-on hinges</v>
      </c>
      <c r="M707">
        <v>9.5</v>
      </c>
      <c r="N707" t="s">
        <v>15</v>
      </c>
      <c r="O707">
        <v>160</v>
      </c>
      <c r="P707">
        <v>0</v>
      </c>
      <c r="Q707">
        <v>0</v>
      </c>
      <c r="R707">
        <v>1</v>
      </c>
      <c r="S707">
        <v>0</v>
      </c>
      <c r="T707">
        <v>1</v>
      </c>
      <c r="U707">
        <v>0</v>
      </c>
      <c r="V707" s="14" t="s">
        <v>763</v>
      </c>
    </row>
    <row r="708" spans="1:22" ht="14.25" customHeight="1" x14ac:dyDescent="0.25">
      <c r="A708" s="48" t="str">
        <f>LEFT(Tabelle1[[#This Row],[Artikel'#]],4)</f>
        <v>F046</v>
      </c>
      <c r="B708" s="46" t="str">
        <f>MID(Tabelle1[[#This Row],[Artikel'#]],5,3)</f>
        <v>138</v>
      </c>
      <c r="C708" s="48" t="str">
        <f>RIGHT(Tabelle1[[#This Row],[Artikel'#]],3)</f>
        <v>991</v>
      </c>
      <c r="D708" s="46">
        <f>IF(Tabelle1[[#This Row],[Winkel2]]=select!$A$2,1,0)</f>
        <v>0</v>
      </c>
      <c r="E70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8" s="46">
        <f>IF(select!$E$16=IF(Tabelle1[[#This Row],[mit Dämpfung]]=1,1,IF(Tabelle1[[#This Row],[ohne Dämpfung]]=1,2,IF(Tabelle1[[#This Row],[ohne Feder]]=1,3,0))),1,0)</f>
        <v>0</v>
      </c>
      <c r="G708" s="46">
        <f>IF(Tabelle1[[#This Row],[Links]]=select!$I$2,1,0)</f>
        <v>0</v>
      </c>
      <c r="H708" s="46">
        <f>IF(IF(Tabelle1[[#This Row],[Anschrauben]]=1,1,IF(Tabelle1[[#This Row],[Einpressen]]=1,2,IF(Tabelle1[[#This Row],[Werkzeuglos]]=1,3,0)))=select!$E$7,1,0)</f>
        <v>0</v>
      </c>
      <c r="I708" s="46">
        <f ca="1">IF(Tabelle1[[#This Row],[Winkel]]+Tabelle1[[#This Row],[Kröpfung]]+Tabelle1[[#This Row],[Däpfung]]+Tabelle1[[#This Row],[Bohrbild]]+Tabelle1[[#This Row],[Scharnierbefestigung]]=5,1,0)</f>
        <v>0</v>
      </c>
      <c r="J708" t="str">
        <f ca="1">Sprache!$A$57</f>
        <v>TIOMOS hinge TT-Click-on</v>
      </c>
      <c r="K708" t="s">
        <v>454</v>
      </c>
      <c r="L708" t="str">
        <f ca="1">Sprache!$A$63</f>
        <v>TIOMOS Click-on hinges</v>
      </c>
      <c r="M708">
        <v>0</v>
      </c>
      <c r="N708" t="s">
        <v>15</v>
      </c>
      <c r="O708">
        <v>95</v>
      </c>
      <c r="P708">
        <v>0</v>
      </c>
      <c r="Q708">
        <v>0</v>
      </c>
      <c r="R708">
        <v>1</v>
      </c>
      <c r="S708">
        <v>1</v>
      </c>
      <c r="T708">
        <v>0</v>
      </c>
      <c r="U708">
        <v>0</v>
      </c>
      <c r="V708" s="14" t="s">
        <v>764</v>
      </c>
    </row>
    <row r="709" spans="1:22" ht="14.25" customHeight="1" x14ac:dyDescent="0.25">
      <c r="A709" s="48" t="str">
        <f>LEFT(Tabelle1[[#This Row],[Artikel'#]],4)</f>
        <v>F046</v>
      </c>
      <c r="B709" s="46" t="str">
        <f>MID(Tabelle1[[#This Row],[Artikel'#]],5,3)</f>
        <v>138</v>
      </c>
      <c r="C709" s="48" t="str">
        <f>RIGHT(Tabelle1[[#This Row],[Artikel'#]],3)</f>
        <v>992</v>
      </c>
      <c r="D709" s="46">
        <f>IF(Tabelle1[[#This Row],[Winkel2]]=select!$A$2,1,0)</f>
        <v>0</v>
      </c>
      <c r="E70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09" s="46">
        <f>IF(select!$E$16=IF(Tabelle1[[#This Row],[mit Dämpfung]]=1,1,IF(Tabelle1[[#This Row],[ohne Dämpfung]]=1,2,IF(Tabelle1[[#This Row],[ohne Feder]]=1,3,0))),1,0)</f>
        <v>0</v>
      </c>
      <c r="G709" s="46">
        <f>IF(Tabelle1[[#This Row],[Links]]=select!$I$2,1,0)</f>
        <v>0</v>
      </c>
      <c r="H709" s="46">
        <f>IF(IF(Tabelle1[[#This Row],[Anschrauben]]=1,1,IF(Tabelle1[[#This Row],[Einpressen]]=1,2,IF(Tabelle1[[#This Row],[Werkzeuglos]]=1,3,0)))=select!$E$7,1,0)</f>
        <v>0</v>
      </c>
      <c r="I709" s="46">
        <f ca="1">IF(Tabelle1[[#This Row],[Winkel]]+Tabelle1[[#This Row],[Kröpfung]]+Tabelle1[[#This Row],[Däpfung]]+Tabelle1[[#This Row],[Bohrbild]]+Tabelle1[[#This Row],[Scharnierbefestigung]]=5,1,0)</f>
        <v>0</v>
      </c>
      <c r="J709" t="str">
        <f ca="1">Sprache!$A$57</f>
        <v>TIOMOS hinge TT-Click-on</v>
      </c>
      <c r="K709" t="s">
        <v>456</v>
      </c>
      <c r="L709" t="str">
        <f ca="1">Sprache!$A$63</f>
        <v>TIOMOS Click-on hinges</v>
      </c>
      <c r="M709">
        <v>3</v>
      </c>
      <c r="N709" t="s">
        <v>15</v>
      </c>
      <c r="O709">
        <v>95</v>
      </c>
      <c r="P709">
        <v>0</v>
      </c>
      <c r="Q709">
        <v>0</v>
      </c>
      <c r="R709">
        <v>1</v>
      </c>
      <c r="S709">
        <v>1</v>
      </c>
      <c r="T709">
        <v>0</v>
      </c>
      <c r="U709">
        <v>0</v>
      </c>
      <c r="V709" s="14" t="s">
        <v>765</v>
      </c>
    </row>
    <row r="710" spans="1:22" ht="14.25" customHeight="1" x14ac:dyDescent="0.25">
      <c r="A710" s="48" t="str">
        <f>LEFT(Tabelle1[[#This Row],[Artikel'#]],4)</f>
        <v>F046</v>
      </c>
      <c r="B710" s="46" t="str">
        <f>MID(Tabelle1[[#This Row],[Artikel'#]],5,3)</f>
        <v>138</v>
      </c>
      <c r="C710" s="48" t="str">
        <f>RIGHT(Tabelle1[[#This Row],[Artikel'#]],3)</f>
        <v>993</v>
      </c>
      <c r="D710" s="46">
        <f>IF(Tabelle1[[#This Row],[Winkel2]]=select!$A$2,1,0)</f>
        <v>0</v>
      </c>
      <c r="E710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10" s="46">
        <f>IF(select!$E$16=IF(Tabelle1[[#This Row],[mit Dämpfung]]=1,1,IF(Tabelle1[[#This Row],[ohne Dämpfung]]=1,2,IF(Tabelle1[[#This Row],[ohne Feder]]=1,3,0))),1,0)</f>
        <v>0</v>
      </c>
      <c r="G710" s="46">
        <f>IF(Tabelle1[[#This Row],[Links]]=select!$I$2,1,0)</f>
        <v>0</v>
      </c>
      <c r="H710" s="46">
        <f>IF(IF(Tabelle1[[#This Row],[Anschrauben]]=1,1,IF(Tabelle1[[#This Row],[Einpressen]]=1,2,IF(Tabelle1[[#This Row],[Werkzeuglos]]=1,3,0)))=select!$E$7,1,0)</f>
        <v>0</v>
      </c>
      <c r="I710" s="46">
        <f ca="1">IF(Tabelle1[[#This Row],[Winkel]]+Tabelle1[[#This Row],[Kröpfung]]+Tabelle1[[#This Row],[Däpfung]]+Tabelle1[[#This Row],[Bohrbild]]+Tabelle1[[#This Row],[Scharnierbefestigung]]=5,1,0)</f>
        <v>0</v>
      </c>
      <c r="J710" t="str">
        <f ca="1">Sprache!$A$57</f>
        <v>TIOMOS hinge TT-Click-on</v>
      </c>
      <c r="K710" t="s">
        <v>458</v>
      </c>
      <c r="L710" t="str">
        <f ca="1">Sprache!$A$63</f>
        <v>TIOMOS Click-on hinges</v>
      </c>
      <c r="M710">
        <v>9.5</v>
      </c>
      <c r="N710" t="s">
        <v>15</v>
      </c>
      <c r="O710">
        <v>95</v>
      </c>
      <c r="P710">
        <v>0</v>
      </c>
      <c r="Q710">
        <v>0</v>
      </c>
      <c r="R710">
        <v>1</v>
      </c>
      <c r="S710">
        <v>1</v>
      </c>
      <c r="T710">
        <v>0</v>
      </c>
      <c r="U710">
        <v>0</v>
      </c>
      <c r="V710" s="14" t="s">
        <v>766</v>
      </c>
    </row>
    <row r="711" spans="1:22" ht="14.25" customHeight="1" x14ac:dyDescent="0.25">
      <c r="A711" s="48" t="str">
        <f>LEFT(Tabelle1[[#This Row],[Artikel'#]],4)</f>
        <v>F046</v>
      </c>
      <c r="B711" s="46" t="str">
        <f>MID(Tabelle1[[#This Row],[Artikel'#]],5,3)</f>
        <v>138</v>
      </c>
      <c r="C711" s="48" t="str">
        <f>RIGHT(Tabelle1[[#This Row],[Artikel'#]],3)</f>
        <v>994</v>
      </c>
      <c r="D711" s="46">
        <f>IF(Tabelle1[[#This Row],[Winkel2]]=select!$A$2,1,0)</f>
        <v>0</v>
      </c>
      <c r="E711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1" s="46">
        <f>IF(select!$E$16=IF(Tabelle1[[#This Row],[mit Dämpfung]]=1,1,IF(Tabelle1[[#This Row],[ohne Dämpfung]]=1,2,IF(Tabelle1[[#This Row],[ohne Feder]]=1,3,0))),1,0)</f>
        <v>0</v>
      </c>
      <c r="G711" s="46">
        <f>IF(Tabelle1[[#This Row],[Links]]=select!$I$2,1,0)</f>
        <v>0</v>
      </c>
      <c r="H711" s="46">
        <f>IF(IF(Tabelle1[[#This Row],[Anschrauben]]=1,1,IF(Tabelle1[[#This Row],[Einpressen]]=1,2,IF(Tabelle1[[#This Row],[Werkzeuglos]]=1,3,0)))=select!$E$7,1,0)</f>
        <v>0</v>
      </c>
      <c r="I711" s="46">
        <f ca="1">IF(Tabelle1[[#This Row],[Winkel]]+Tabelle1[[#This Row],[Kröpfung]]+Tabelle1[[#This Row],[Däpfung]]+Tabelle1[[#This Row],[Bohrbild]]+Tabelle1[[#This Row],[Scharnierbefestigung]]=5,1,0)</f>
        <v>0</v>
      </c>
      <c r="J711" t="str">
        <f ca="1">Sprache!$A$57</f>
        <v>TIOMOS hinge TT-Click-on</v>
      </c>
      <c r="K711" t="s">
        <v>460</v>
      </c>
      <c r="L711" t="str">
        <f ca="1">Sprache!$A$63</f>
        <v>TIOMOS Click-on hinges</v>
      </c>
      <c r="M711">
        <v>19</v>
      </c>
      <c r="N711" t="s">
        <v>15</v>
      </c>
      <c r="O711">
        <v>95</v>
      </c>
      <c r="P711">
        <v>0</v>
      </c>
      <c r="Q711">
        <v>0</v>
      </c>
      <c r="R711">
        <v>1</v>
      </c>
      <c r="S711">
        <v>1</v>
      </c>
      <c r="T711">
        <v>0</v>
      </c>
      <c r="U711">
        <v>0</v>
      </c>
      <c r="V711" s="14" t="s">
        <v>767</v>
      </c>
    </row>
    <row r="712" spans="1:22" ht="14.25" customHeight="1" x14ac:dyDescent="0.25">
      <c r="A712" s="48" t="str">
        <f>LEFT(Tabelle1[[#This Row],[Artikel'#]],4)</f>
        <v>F046</v>
      </c>
      <c r="B712" s="46" t="str">
        <f>MID(Tabelle1[[#This Row],[Artikel'#]],5,3)</f>
        <v>138</v>
      </c>
      <c r="C712" s="48" t="str">
        <f>RIGHT(Tabelle1[[#This Row],[Artikel'#]],3)</f>
        <v>995</v>
      </c>
      <c r="D712" s="46">
        <f>IF(Tabelle1[[#This Row],[Winkel2]]=select!$A$2,1,0)</f>
        <v>0</v>
      </c>
      <c r="E712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2" s="46">
        <f>IF(select!$E$16=IF(Tabelle1[[#This Row],[mit Dämpfung]]=1,1,IF(Tabelle1[[#This Row],[ohne Dämpfung]]=1,2,IF(Tabelle1[[#This Row],[ohne Feder]]=1,3,0))),1,0)</f>
        <v>0</v>
      </c>
      <c r="G712" s="46">
        <f>IF(Tabelle1[[#This Row],[Links]]=select!$I$2,1,0)</f>
        <v>0</v>
      </c>
      <c r="H712" s="46">
        <f>IF(IF(Tabelle1[[#This Row],[Anschrauben]]=1,1,IF(Tabelle1[[#This Row],[Einpressen]]=1,2,IF(Tabelle1[[#This Row],[Werkzeuglos]]=1,3,0)))=select!$E$7,1,0)</f>
        <v>1</v>
      </c>
      <c r="I712" s="46">
        <f ca="1">IF(Tabelle1[[#This Row],[Winkel]]+Tabelle1[[#This Row],[Kröpfung]]+Tabelle1[[#This Row],[Däpfung]]+Tabelle1[[#This Row],[Bohrbild]]+Tabelle1[[#This Row],[Scharnierbefestigung]]=5,1,0)</f>
        <v>0</v>
      </c>
      <c r="J712" t="str">
        <f ca="1">Sprache!$A$57</f>
        <v>TIOMOS hinge TT-Click-on</v>
      </c>
      <c r="K712" t="str">
        <f ca="1">"95°, S-BB, K00, "&amp;Sprache!A59&amp;", ni"</f>
        <v>95°, S-BB, K00, Dowel, ni</v>
      </c>
      <c r="L712" t="str">
        <f ca="1">Sprache!$A$63</f>
        <v>TIOMOS Click-on hinges</v>
      </c>
      <c r="M712">
        <v>0</v>
      </c>
      <c r="N712" t="s">
        <v>15</v>
      </c>
      <c r="O712">
        <v>95</v>
      </c>
      <c r="P712">
        <v>0</v>
      </c>
      <c r="Q712">
        <v>0</v>
      </c>
      <c r="R712">
        <v>1</v>
      </c>
      <c r="S712">
        <v>0</v>
      </c>
      <c r="T712">
        <v>1</v>
      </c>
      <c r="U712">
        <v>0</v>
      </c>
      <c r="V712" s="14" t="s">
        <v>768</v>
      </c>
    </row>
    <row r="713" spans="1:22" ht="14.25" customHeight="1" x14ac:dyDescent="0.25">
      <c r="A713" s="48" t="str">
        <f>LEFT(Tabelle1[[#This Row],[Artikel'#]],4)</f>
        <v>F046</v>
      </c>
      <c r="B713" s="46" t="str">
        <f>MID(Tabelle1[[#This Row],[Artikel'#]],5,3)</f>
        <v>138</v>
      </c>
      <c r="C713" s="48" t="str">
        <f>RIGHT(Tabelle1[[#This Row],[Artikel'#]],3)</f>
        <v>996</v>
      </c>
      <c r="D713" s="46">
        <f>IF(Tabelle1[[#This Row],[Winkel2]]=select!$A$2,1,0)</f>
        <v>0</v>
      </c>
      <c r="E713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3" s="46">
        <f>IF(select!$E$16=IF(Tabelle1[[#This Row],[mit Dämpfung]]=1,1,IF(Tabelle1[[#This Row],[ohne Dämpfung]]=1,2,IF(Tabelle1[[#This Row],[ohne Feder]]=1,3,0))),1,0)</f>
        <v>0</v>
      </c>
      <c r="G713" s="46">
        <f>IF(Tabelle1[[#This Row],[Links]]=select!$I$2,1,0)</f>
        <v>0</v>
      </c>
      <c r="H713" s="46">
        <f>IF(IF(Tabelle1[[#This Row],[Anschrauben]]=1,1,IF(Tabelle1[[#This Row],[Einpressen]]=1,2,IF(Tabelle1[[#This Row],[Werkzeuglos]]=1,3,0)))=select!$E$7,1,0)</f>
        <v>1</v>
      </c>
      <c r="I713" s="46">
        <f ca="1">IF(Tabelle1[[#This Row],[Winkel]]+Tabelle1[[#This Row],[Kröpfung]]+Tabelle1[[#This Row],[Däpfung]]+Tabelle1[[#This Row],[Bohrbild]]+Tabelle1[[#This Row],[Scharnierbefestigung]]=5,1,0)</f>
        <v>0</v>
      </c>
      <c r="J713" t="str">
        <f ca="1">Sprache!$A$57</f>
        <v>TIOMOS hinge TT-Click-on</v>
      </c>
      <c r="K713" t="str">
        <f ca="1">"95°, S-BB, K03, "&amp;Sprache!A59&amp;", ni"</f>
        <v>95°, S-BB, K03, Dowel, ni</v>
      </c>
      <c r="L713" t="str">
        <f ca="1">Sprache!$A$63</f>
        <v>TIOMOS Click-on hinges</v>
      </c>
      <c r="M713">
        <v>3</v>
      </c>
      <c r="N713" t="s">
        <v>15</v>
      </c>
      <c r="O713">
        <v>95</v>
      </c>
      <c r="P713">
        <v>0</v>
      </c>
      <c r="Q713">
        <v>0</v>
      </c>
      <c r="R713">
        <v>1</v>
      </c>
      <c r="S713">
        <v>0</v>
      </c>
      <c r="T713">
        <v>1</v>
      </c>
      <c r="U713">
        <v>0</v>
      </c>
      <c r="V713" s="14" t="s">
        <v>769</v>
      </c>
    </row>
    <row r="714" spans="1:22" ht="14.25" customHeight="1" x14ac:dyDescent="0.25">
      <c r="A714" s="48" t="str">
        <f>LEFT(Tabelle1[[#This Row],[Artikel'#]],4)</f>
        <v>F046</v>
      </c>
      <c r="B714" s="46" t="str">
        <f>MID(Tabelle1[[#This Row],[Artikel'#]],5,3)</f>
        <v>138</v>
      </c>
      <c r="C714" s="48" t="str">
        <f>RIGHT(Tabelle1[[#This Row],[Artikel'#]],3)</f>
        <v>997</v>
      </c>
      <c r="D714" s="46">
        <f>IF(Tabelle1[[#This Row],[Winkel2]]=select!$A$2,1,0)</f>
        <v>0</v>
      </c>
      <c r="E714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1</v>
      </c>
      <c r="F714" s="46">
        <f>IF(select!$E$16=IF(Tabelle1[[#This Row],[mit Dämpfung]]=1,1,IF(Tabelle1[[#This Row],[ohne Dämpfung]]=1,2,IF(Tabelle1[[#This Row],[ohne Feder]]=1,3,0))),1,0)</f>
        <v>0</v>
      </c>
      <c r="G714" s="46">
        <f>IF(Tabelle1[[#This Row],[Links]]=select!$I$2,1,0)</f>
        <v>0</v>
      </c>
      <c r="H714" s="46">
        <f>IF(IF(Tabelle1[[#This Row],[Anschrauben]]=1,1,IF(Tabelle1[[#This Row],[Einpressen]]=1,2,IF(Tabelle1[[#This Row],[Werkzeuglos]]=1,3,0)))=select!$E$7,1,0)</f>
        <v>1</v>
      </c>
      <c r="I714" s="46">
        <f ca="1">IF(Tabelle1[[#This Row],[Winkel]]+Tabelle1[[#This Row],[Kröpfung]]+Tabelle1[[#This Row],[Däpfung]]+Tabelle1[[#This Row],[Bohrbild]]+Tabelle1[[#This Row],[Scharnierbefestigung]]=5,1,0)</f>
        <v>0</v>
      </c>
      <c r="J714" t="str">
        <f ca="1">Sprache!$A$57</f>
        <v>TIOMOS hinge TT-Click-on</v>
      </c>
      <c r="K714" t="str">
        <f ca="1">"95°, S-BB, K95, "&amp;Sprache!A59&amp;", ni"</f>
        <v>95°, S-BB, K95, Dowel, ni</v>
      </c>
      <c r="L714" t="str">
        <f ca="1">Sprache!$A$63</f>
        <v>TIOMOS Click-on hinges</v>
      </c>
      <c r="M714">
        <v>9.5</v>
      </c>
      <c r="N714" t="s">
        <v>15</v>
      </c>
      <c r="O714">
        <v>95</v>
      </c>
      <c r="P714">
        <v>0</v>
      </c>
      <c r="Q714">
        <v>0</v>
      </c>
      <c r="R714">
        <v>1</v>
      </c>
      <c r="S714">
        <v>0</v>
      </c>
      <c r="T714">
        <v>1</v>
      </c>
      <c r="U714">
        <v>0</v>
      </c>
      <c r="V714" s="14" t="s">
        <v>770</v>
      </c>
    </row>
    <row r="715" spans="1:22" ht="14.25" customHeight="1" x14ac:dyDescent="0.25">
      <c r="A715" s="48" t="str">
        <f>LEFT(Tabelle1[[#This Row],[Artikel'#]],4)</f>
        <v>F046</v>
      </c>
      <c r="B715" s="46" t="str">
        <f>MID(Tabelle1[[#This Row],[Artikel'#]],5,3)</f>
        <v>138</v>
      </c>
      <c r="C715" s="48" t="str">
        <f>RIGHT(Tabelle1[[#This Row],[Artikel'#]],3)</f>
        <v>998</v>
      </c>
      <c r="D715" s="46">
        <f>IF(Tabelle1[[#This Row],[Winkel2]]=select!$A$2,1,0)</f>
        <v>0</v>
      </c>
      <c r="E715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5" s="46">
        <f>IF(select!$E$16=IF(Tabelle1[[#This Row],[mit Dämpfung]]=1,1,IF(Tabelle1[[#This Row],[ohne Dämpfung]]=1,2,IF(Tabelle1[[#This Row],[ohne Feder]]=1,3,0))),1,0)</f>
        <v>0</v>
      </c>
      <c r="G715" s="46">
        <f>IF(Tabelle1[[#This Row],[Links]]=select!$I$2,1,0)</f>
        <v>0</v>
      </c>
      <c r="H715" s="46">
        <f>IF(IF(Tabelle1[[#This Row],[Anschrauben]]=1,1,IF(Tabelle1[[#This Row],[Einpressen]]=1,2,IF(Tabelle1[[#This Row],[Werkzeuglos]]=1,3,0)))=select!$E$7,1,0)</f>
        <v>1</v>
      </c>
      <c r="I715" s="46">
        <f ca="1">IF(Tabelle1[[#This Row],[Winkel]]+Tabelle1[[#This Row],[Kröpfung]]+Tabelle1[[#This Row],[Däpfung]]+Tabelle1[[#This Row],[Bohrbild]]+Tabelle1[[#This Row],[Scharnierbefestigung]]=5,1,0)</f>
        <v>0</v>
      </c>
      <c r="J715" t="str">
        <f ca="1">Sprache!$A$57</f>
        <v>TIOMOS hinge TT-Click-on</v>
      </c>
      <c r="K715" t="str">
        <f ca="1">"95°, S-BB, K19, "&amp;Sprache!A59&amp;", ni"</f>
        <v>95°, S-BB, K19, Dowel, ni</v>
      </c>
      <c r="L715" t="str">
        <f ca="1">Sprache!$A$63</f>
        <v>TIOMOS Click-on hinges</v>
      </c>
      <c r="M715">
        <v>19</v>
      </c>
      <c r="N715" t="s">
        <v>15</v>
      </c>
      <c r="O715">
        <v>95</v>
      </c>
      <c r="P715">
        <v>0</v>
      </c>
      <c r="Q715">
        <v>0</v>
      </c>
      <c r="R715">
        <v>1</v>
      </c>
      <c r="S715">
        <v>0</v>
      </c>
      <c r="T715">
        <v>1</v>
      </c>
      <c r="U715">
        <v>0</v>
      </c>
      <c r="V715" s="14" t="s">
        <v>771</v>
      </c>
    </row>
    <row r="716" spans="1:22" ht="14.25" customHeight="1" x14ac:dyDescent="0.25">
      <c r="A716" s="48" t="str">
        <f>LEFT(Tabelle1[[#This Row],[Artikel'#]],4)</f>
        <v>F046</v>
      </c>
      <c r="B716" s="46" t="str">
        <f>MID(Tabelle1[[#This Row],[Artikel'#]],5,3)</f>
        <v>139</v>
      </c>
      <c r="C716" s="48" t="str">
        <f>RIGHT(Tabelle1[[#This Row],[Artikel'#]],3)</f>
        <v>021</v>
      </c>
      <c r="D716" s="46">
        <f>IF(Tabelle1[[#This Row],[Winkel2]]=select!$A$2,1,0)</f>
        <v>0</v>
      </c>
      <c r="E716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6" s="46">
        <f>IF(select!$E$16=IF(Tabelle1[[#This Row],[mit Dämpfung]]=1,1,IF(Tabelle1[[#This Row],[ohne Dämpfung]]=1,2,IF(Tabelle1[[#This Row],[ohne Feder]]=1,3,0))),1,0)</f>
        <v>0</v>
      </c>
      <c r="G716" s="46">
        <f>IF(Tabelle1[[#This Row],[Links]]=select!$I$2,1,0)</f>
        <v>0</v>
      </c>
      <c r="H716" s="46">
        <f>IF(IF(Tabelle1[[#This Row],[Anschrauben]]=1,1,IF(Tabelle1[[#This Row],[Einpressen]]=1,2,IF(Tabelle1[[#This Row],[Werkzeuglos]]=1,3,0)))=select!$E$7,1,0)</f>
        <v>0</v>
      </c>
      <c r="I716" s="46">
        <f ca="1">IF(Tabelle1[[#This Row],[Winkel]]+Tabelle1[[#This Row],[Kröpfung]]+Tabelle1[[#This Row],[Däpfung]]+Tabelle1[[#This Row],[Bohrbild]]+Tabelle1[[#This Row],[Scharnierbefestigung]]=5,1,0)</f>
        <v>0</v>
      </c>
      <c r="J716" t="str">
        <f ca="1">Sprache!$A$57</f>
        <v>TIOMOS hinge TT-Click-on</v>
      </c>
      <c r="K716" t="s">
        <v>466</v>
      </c>
      <c r="L716" t="str">
        <f ca="1">Sprache!$A$63</f>
        <v>TIOMOS Click-on hinges</v>
      </c>
      <c r="M716">
        <v>19</v>
      </c>
      <c r="N716" t="s">
        <v>12</v>
      </c>
      <c r="O716">
        <v>120</v>
      </c>
      <c r="P716">
        <v>0</v>
      </c>
      <c r="Q716">
        <v>0</v>
      </c>
      <c r="R716">
        <v>1</v>
      </c>
      <c r="S716">
        <v>1</v>
      </c>
      <c r="T716">
        <v>0</v>
      </c>
      <c r="U716">
        <v>0</v>
      </c>
      <c r="V716" s="14" t="s">
        <v>772</v>
      </c>
    </row>
    <row r="717" spans="1:22" ht="14.25" customHeight="1" x14ac:dyDescent="0.25">
      <c r="A717" s="48" t="str">
        <f>LEFT(Tabelle1[[#This Row],[Artikel'#]],4)</f>
        <v>F046</v>
      </c>
      <c r="B717" s="46" t="str">
        <f>MID(Tabelle1[[#This Row],[Artikel'#]],5,3)</f>
        <v>139</v>
      </c>
      <c r="C717" s="48" t="str">
        <f>RIGHT(Tabelle1[[#This Row],[Artikel'#]],3)</f>
        <v>026</v>
      </c>
      <c r="D717" s="46">
        <f>IF(Tabelle1[[#This Row],[Winkel2]]=select!$A$2,1,0)</f>
        <v>0</v>
      </c>
      <c r="E717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7" s="46">
        <f>IF(select!$E$16=IF(Tabelle1[[#This Row],[mit Dämpfung]]=1,1,IF(Tabelle1[[#This Row],[ohne Dämpfung]]=1,2,IF(Tabelle1[[#This Row],[ohne Feder]]=1,3,0))),1,0)</f>
        <v>0</v>
      </c>
      <c r="G717" s="46">
        <f>IF(Tabelle1[[#This Row],[Links]]=select!$I$2,1,0)</f>
        <v>0</v>
      </c>
      <c r="H717" s="46">
        <f>IF(IF(Tabelle1[[#This Row],[Anschrauben]]=1,1,IF(Tabelle1[[#This Row],[Einpressen]]=1,2,IF(Tabelle1[[#This Row],[Werkzeuglos]]=1,3,0)))=select!$E$7,1,0)</f>
        <v>0</v>
      </c>
      <c r="I717" s="46">
        <f ca="1">IF(Tabelle1[[#This Row],[Winkel]]+Tabelle1[[#This Row],[Kröpfung]]+Tabelle1[[#This Row],[Däpfung]]+Tabelle1[[#This Row],[Bohrbild]]+Tabelle1[[#This Row],[Scharnierbefestigung]]=5,1,0)</f>
        <v>0</v>
      </c>
      <c r="J717" t="str">
        <f ca="1">Sprache!$A$57</f>
        <v>TIOMOS hinge TT-Click-on</v>
      </c>
      <c r="K717" t="s">
        <v>469</v>
      </c>
      <c r="L717" t="str">
        <f ca="1">Sprache!$A$63</f>
        <v>TIOMOS Click-on hinges</v>
      </c>
      <c r="M717">
        <v>19</v>
      </c>
      <c r="N717" t="s">
        <v>14</v>
      </c>
      <c r="O717">
        <v>120</v>
      </c>
      <c r="P717">
        <v>0</v>
      </c>
      <c r="Q717">
        <v>0</v>
      </c>
      <c r="R717">
        <v>1</v>
      </c>
      <c r="S717">
        <v>1</v>
      </c>
      <c r="T717">
        <v>0</v>
      </c>
      <c r="U717">
        <v>0</v>
      </c>
      <c r="V717" s="14" t="s">
        <v>773</v>
      </c>
    </row>
    <row r="718" spans="1:22" ht="14.25" customHeight="1" x14ac:dyDescent="0.25">
      <c r="A718" s="48" t="str">
        <f>LEFT(Tabelle1[[#This Row],[Artikel'#]],4)</f>
        <v>F046</v>
      </c>
      <c r="B718" s="46" t="str">
        <f>MID(Tabelle1[[#This Row],[Artikel'#]],5,3)</f>
        <v>139</v>
      </c>
      <c r="C718" s="48" t="str">
        <f>RIGHT(Tabelle1[[#This Row],[Artikel'#]],3)</f>
        <v>031</v>
      </c>
      <c r="D718" s="46">
        <f>IF(Tabelle1[[#This Row],[Winkel2]]=select!$A$2,1,0)</f>
        <v>0</v>
      </c>
      <c r="E718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8" s="46">
        <f>IF(select!$E$16=IF(Tabelle1[[#This Row],[mit Dämpfung]]=1,1,IF(Tabelle1[[#This Row],[ohne Dämpfung]]=1,2,IF(Tabelle1[[#This Row],[ohne Feder]]=1,3,0))),1,0)</f>
        <v>0</v>
      </c>
      <c r="G718" s="46">
        <f>IF(Tabelle1[[#This Row],[Links]]=select!$I$2,1,0)</f>
        <v>0</v>
      </c>
      <c r="H718" s="46">
        <f>IF(IF(Tabelle1[[#This Row],[Anschrauben]]=1,1,IF(Tabelle1[[#This Row],[Einpressen]]=1,2,IF(Tabelle1[[#This Row],[Werkzeuglos]]=1,3,0)))=select!$E$7,1,0)</f>
        <v>0</v>
      </c>
      <c r="I718" s="46">
        <f ca="1">IF(Tabelle1[[#This Row],[Winkel]]+Tabelle1[[#This Row],[Kröpfung]]+Tabelle1[[#This Row],[Däpfung]]+Tabelle1[[#This Row],[Bohrbild]]+Tabelle1[[#This Row],[Scharnierbefestigung]]=5,1,0)</f>
        <v>0</v>
      </c>
      <c r="J718" t="str">
        <f ca="1">Sprache!$A$57</f>
        <v>TIOMOS hinge TT-Click-on</v>
      </c>
      <c r="K718" t="s">
        <v>472</v>
      </c>
      <c r="L718" t="str">
        <f ca="1">Sprache!$A$63</f>
        <v>TIOMOS Click-on hinges</v>
      </c>
      <c r="M718">
        <v>19</v>
      </c>
      <c r="N718" t="s">
        <v>13</v>
      </c>
      <c r="O718">
        <v>120</v>
      </c>
      <c r="P718">
        <v>0</v>
      </c>
      <c r="Q718">
        <v>0</v>
      </c>
      <c r="R718">
        <v>1</v>
      </c>
      <c r="S718">
        <v>1</v>
      </c>
      <c r="T718">
        <v>0</v>
      </c>
      <c r="U718">
        <v>0</v>
      </c>
      <c r="V718" s="14" t="s">
        <v>774</v>
      </c>
    </row>
    <row r="719" spans="1:22" ht="14.25" customHeight="1" x14ac:dyDescent="0.25">
      <c r="A719" s="48" t="str">
        <f>LEFT(Tabelle1[[#This Row],[Artikel'#]],4)</f>
        <v>F046</v>
      </c>
      <c r="B719" s="46" t="str">
        <f>MID(Tabelle1[[#This Row],[Artikel'#]],5,3)</f>
        <v>139</v>
      </c>
      <c r="C719" s="48" t="str">
        <f>RIGHT(Tabelle1[[#This Row],[Artikel'#]],3)</f>
        <v>036</v>
      </c>
      <c r="D719" s="46">
        <f>IF(Tabelle1[[#This Row],[Winkel2]]=select!$A$2,1,0)</f>
        <v>0</v>
      </c>
      <c r="E719" s="46">
        <f ca="1">IF(select!$F$86=Tabelle1[[#This Row],[Kröpfung2]],1,IF(select!$F$86=-1000,IF(OR(Tabelle1[[#This Row],[Kröpfung2]]=select!$G$81,Tabelle1[[#This Row],[Kröpfung2]]=select!$G$82,Tabelle1[[#This Row],[Kröpfung2]]=select!$G$83,Tabelle1[[#This Row],[Kröpfung2]]=select!$G$84)=TRUE,1,0),0))</f>
        <v>0</v>
      </c>
      <c r="F719" s="46">
        <f>IF(select!$E$16=IF(Tabelle1[[#This Row],[mit Dämpfung]]=1,1,IF(Tabelle1[[#This Row],[ohne Dämpfung]]=1,2,IF(Tabelle1[[#This Row],[ohne Feder]]=1,3,0))),1,0)</f>
        <v>0</v>
      </c>
      <c r="G719" s="46">
        <f>IF(Tabelle1[[#This Row],[Links]]=select!$I$2,1,0)</f>
        <v>0</v>
      </c>
      <c r="H719" s="46">
        <f>IF(IF(Tabelle1[[#This Row],[Anschrauben]]=1,1,IF(Tabelle1[[#This Row],[Einpressen]]=1,2,IF(Tabelle1[[#This Row],[Werkzeuglos]]=1,3,0)))=select!$E$7,1,0)</f>
        <v>0</v>
      </c>
      <c r="I719" s="46">
        <f ca="1">IF(Tabelle1[[#This Row],[Winkel]]+Tabelle1[[#This Row],[Kröpfung]]+Tabelle1[[#This Row],[Däpfung]]+Tabelle1[[#This Row],[Bohrbild]]+Tabelle1[[#This Row],[Scharnierbefestigung]]=5,1,0)</f>
        <v>0</v>
      </c>
      <c r="J719" t="str">
        <f ca="1">Sprache!$A$57</f>
        <v>TIOMOS hinge TT-Click-on</v>
      </c>
      <c r="K719" t="s">
        <v>475</v>
      </c>
      <c r="L719" t="str">
        <f ca="1">Sprache!$A$63</f>
        <v>TIOMOS Click-on hinges</v>
      </c>
      <c r="M719">
        <v>19</v>
      </c>
      <c r="N719" t="s">
        <v>15</v>
      </c>
      <c r="O719">
        <v>120</v>
      </c>
      <c r="P719">
        <v>0</v>
      </c>
      <c r="Q719">
        <v>0</v>
      </c>
      <c r="R719">
        <v>1</v>
      </c>
      <c r="S719">
        <v>1</v>
      </c>
      <c r="T719">
        <v>0</v>
      </c>
      <c r="U719">
        <v>0</v>
      </c>
      <c r="V719" s="14" t="s">
        <v>775</v>
      </c>
    </row>
  </sheetData>
  <pageMargins left="0.7" right="0.7" top="0.78740157499999996" bottom="0.78740157499999996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>
    <tabColor rgb="FF92D050"/>
  </sheetPr>
  <dimension ref="A1:AA96"/>
  <sheetViews>
    <sheetView zoomScale="110" zoomScaleNormal="110" workbookViewId="0">
      <pane ySplit="1" topLeftCell="A2" activePane="bottomLeft" state="frozen"/>
      <selection pane="bottomLeft" activeCell="G2" sqref="G2"/>
    </sheetView>
  </sheetViews>
  <sheetFormatPr baseColWidth="10" defaultRowHeight="13.5" customHeight="1" x14ac:dyDescent="0.25"/>
  <cols>
    <col min="1" max="1" width="5" style="34" bestFit="1" customWidth="1"/>
    <col min="2" max="2" width="4" bestFit="1" customWidth="1"/>
    <col min="3" max="3" width="4" style="34" customWidth="1"/>
    <col min="4" max="4" width="4" style="26" customWidth="1"/>
    <col min="5" max="6" width="3.5703125" style="26" customWidth="1"/>
    <col min="7" max="7" width="3.42578125" style="26" customWidth="1"/>
    <col min="8" max="11" width="3.28515625" style="26" customWidth="1"/>
    <col min="12" max="12" width="3.5703125" style="26" customWidth="1"/>
    <col min="13" max="13" width="3.28515625" style="43" customWidth="1"/>
    <col min="14" max="14" width="30.28515625" style="36" customWidth="1"/>
    <col min="15" max="15" width="27.28515625" bestFit="1" customWidth="1"/>
    <col min="16" max="16" width="27" bestFit="1" customWidth="1"/>
    <col min="17" max="17" width="3.28515625" style="23" customWidth="1"/>
    <col min="18" max="18" width="3.7109375" style="23" bestFit="1" customWidth="1"/>
    <col min="19" max="23" width="3.7109375" style="2" bestFit="1" customWidth="1"/>
    <col min="24" max="26" width="3.7109375" bestFit="1" customWidth="1"/>
    <col min="27" max="27" width="14.5703125" hidden="1" customWidth="1"/>
    <col min="28" max="28" width="2.7109375" customWidth="1"/>
  </cols>
  <sheetData>
    <row r="1" spans="1:27" s="21" customFormat="1" ht="126.75" customHeight="1" x14ac:dyDescent="0.25">
      <c r="A1" s="33" t="s">
        <v>940</v>
      </c>
      <c r="B1" s="21" t="s">
        <v>941</v>
      </c>
      <c r="C1" s="33" t="s">
        <v>942</v>
      </c>
      <c r="D1" s="37" t="s">
        <v>943</v>
      </c>
      <c r="E1" s="37" t="s">
        <v>945</v>
      </c>
      <c r="F1" s="37" t="s">
        <v>973</v>
      </c>
      <c r="G1" s="37" t="s">
        <v>950</v>
      </c>
      <c r="H1" s="37" t="s">
        <v>946</v>
      </c>
      <c r="I1" s="37" t="s">
        <v>947</v>
      </c>
      <c r="J1" s="37" t="s">
        <v>948</v>
      </c>
      <c r="K1" s="37" t="s">
        <v>949</v>
      </c>
      <c r="L1" s="37" t="s">
        <v>1471</v>
      </c>
      <c r="M1" s="42" t="s">
        <v>951</v>
      </c>
      <c r="N1" s="35" t="s">
        <v>65</v>
      </c>
      <c r="O1" s="16" t="s">
        <v>66</v>
      </c>
      <c r="P1" s="16" t="s">
        <v>67</v>
      </c>
      <c r="Q1" s="38" t="s">
        <v>62</v>
      </c>
      <c r="R1" s="38" t="s">
        <v>61</v>
      </c>
      <c r="S1" s="39" t="s">
        <v>777</v>
      </c>
      <c r="T1" s="39" t="s">
        <v>778</v>
      </c>
      <c r="U1" s="39" t="s">
        <v>779</v>
      </c>
      <c r="V1" s="39" t="s">
        <v>780</v>
      </c>
      <c r="W1" s="39" t="s">
        <v>781</v>
      </c>
      <c r="X1" s="19" t="s">
        <v>50</v>
      </c>
      <c r="Y1" s="19" t="s">
        <v>51</v>
      </c>
      <c r="Z1" s="20" t="s">
        <v>52</v>
      </c>
      <c r="AA1" s="18" t="s">
        <v>776</v>
      </c>
    </row>
    <row r="2" spans="1:27" ht="13.5" customHeight="1" x14ac:dyDescent="0.25">
      <c r="A2" s="34" t="str">
        <f t="shared" ref="A2:A33" si="0">LEFT(AA2,4)</f>
        <v>F058</v>
      </c>
      <c r="B2" t="str">
        <f t="shared" ref="B2:B33" si="1">MID(AA2,5,3)</f>
        <v>139</v>
      </c>
      <c r="C2" s="34" t="str">
        <f t="shared" ref="C2:C33" si="2">RIGHT(AA2,3)</f>
        <v>720</v>
      </c>
      <c r="D2" s="26">
        <f>IF(select!$H$16=1,Tabelle2[[#This Row],[Kreuz]],IF(select!$H$16=2,Tabelle2[[#This Row],[Linear]],0))</f>
        <v>1</v>
      </c>
      <c r="E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" s="26">
        <f>IF(Tabelle2[[#This Row],[37/32]]=1,1,IF(Tabelle2[[#This Row],[28/32]]=1,2,0))</f>
        <v>1</v>
      </c>
      <c r="G2" s="26">
        <f>IF(Tabelle2[[#This Row],[Kreuz/linear]]+Tabelle2[[#This Row],[Befestigung]]=2,1,0)</f>
        <v>0</v>
      </c>
      <c r="H2" s="26">
        <f>IF(Tabelle2[[#This Row],[Randbedingungen]]+IF(Tabelle2[[#This Row],[Höhe]]=select!$B$29,1,0)=2,1,0)</f>
        <v>0</v>
      </c>
      <c r="I2" s="26">
        <f>IF(Tabelle2[[#This Row],[Randbedingungen]]+IF(Tabelle2[[#This Row],[Höhe]]=select!$D$29,1,0)=2,1,0)</f>
        <v>0</v>
      </c>
      <c r="J2" s="26">
        <f>IF(Tabelle2[[#This Row],[Randbedingungen]]+IF(Tabelle2[[#This Row],[Höhe]]=select!$F$29,1,0)=2,1,0)</f>
        <v>0</v>
      </c>
      <c r="K2" s="26">
        <f>IF(Tabelle2[[#This Row],[Randbedingungen]]+IF(Tabelle2[[#This Row],[Höhe]]=select!$H$29,1,0)=2,1,0)</f>
        <v>0</v>
      </c>
      <c r="L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" s="43">
        <f ca="1">IF(Tabelle2[[#This Row],[Kröpfung 3]]+Tabelle2[[#This Row],[Kröpfung 0]]+Tabelle2[[#This Row],[Kröpfung 9,5]]+Tabelle2[[#This Row],[Kröpfung 19]]+Tabelle2[[#This Row],[auswahl K]]=2,1,0)</f>
        <v>0</v>
      </c>
      <c r="N2" s="36" t="str">
        <f ca="1">Sprache!$A$46</f>
        <v>ECO Cross mounting plate TIOMOS</v>
      </c>
      <c r="O2" t="s">
        <v>784</v>
      </c>
      <c r="P2" t="str">
        <f ca="1">Sprache!$A$49</f>
        <v>TIOMOS mounting plates</v>
      </c>
      <c r="Q2" s="23">
        <v>1</v>
      </c>
      <c r="R2" s="23">
        <v>0</v>
      </c>
      <c r="S2" s="2">
        <v>0</v>
      </c>
      <c r="T2" s="2">
        <v>1</v>
      </c>
      <c r="U2" s="2">
        <v>0</v>
      </c>
      <c r="V2" s="2">
        <v>0</v>
      </c>
      <c r="W2" s="2">
        <v>0</v>
      </c>
      <c r="X2">
        <v>1</v>
      </c>
      <c r="Y2">
        <v>0</v>
      </c>
      <c r="Z2">
        <v>-2</v>
      </c>
      <c r="AA2" s="15" t="s">
        <v>782</v>
      </c>
    </row>
    <row r="3" spans="1:27" ht="13.5" customHeight="1" x14ac:dyDescent="0.25">
      <c r="A3" s="34" t="str">
        <f t="shared" si="0"/>
        <v>F058</v>
      </c>
      <c r="B3" t="str">
        <f t="shared" si="1"/>
        <v>139</v>
      </c>
      <c r="C3" s="34" t="str">
        <f t="shared" si="2"/>
        <v>725</v>
      </c>
      <c r="D3" s="26">
        <f>IF(select!$H$16=1,Tabelle2[[#This Row],[Kreuz]],IF(select!$H$16=2,Tabelle2[[#This Row],[Linear]],0))</f>
        <v>1</v>
      </c>
      <c r="E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" s="26">
        <f>IF(Tabelle2[[#This Row],[37/32]]=1,1,IF(Tabelle2[[#This Row],[28/32]]=1,2,0))</f>
        <v>1</v>
      </c>
      <c r="G3" s="26">
        <f>IF(Tabelle2[[#This Row],[Kreuz/linear]]+Tabelle2[[#This Row],[Befestigung]]=2,1,0)</f>
        <v>0</v>
      </c>
      <c r="H3" s="26">
        <f>IF(Tabelle2[[#This Row],[Randbedingungen]]+IF(Tabelle2[[#This Row],[Höhe]]=select!$B$29,1,0)=2,1,0)</f>
        <v>0</v>
      </c>
      <c r="I3" s="26">
        <f>IF(Tabelle2[[#This Row],[Randbedingungen]]+IF(Tabelle2[[#This Row],[Höhe]]=select!$D$29,1,0)=2,1,0)</f>
        <v>0</v>
      </c>
      <c r="J3" s="26">
        <f>IF(Tabelle2[[#This Row],[Randbedingungen]]+IF(Tabelle2[[#This Row],[Höhe]]=select!$F$29,1,0)=2,1,0)</f>
        <v>0</v>
      </c>
      <c r="K3" s="26">
        <f>IF(Tabelle2[[#This Row],[Randbedingungen]]+IF(Tabelle2[[#This Row],[Höhe]]=select!$H$29,1,0)=2,1,0)</f>
        <v>0</v>
      </c>
      <c r="L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" s="43">
        <f ca="1">IF(Tabelle2[[#This Row],[Kröpfung 3]]+Tabelle2[[#This Row],[Kröpfung 0]]+Tabelle2[[#This Row],[Kröpfung 9,5]]+Tabelle2[[#This Row],[Kröpfung 19]]+Tabelle2[[#This Row],[auswahl K]]=2,1,0)</f>
        <v>0</v>
      </c>
      <c r="N3" s="36" t="str">
        <f ca="1">Sprache!$A$46</f>
        <v>ECO Cross mounting plate TIOMOS</v>
      </c>
      <c r="O3" t="s">
        <v>795</v>
      </c>
      <c r="P3" t="str">
        <f ca="1">Sprache!$A$49</f>
        <v>TIOMOS mounting plates</v>
      </c>
      <c r="Q3" s="23">
        <v>1</v>
      </c>
      <c r="R3" s="23">
        <v>0</v>
      </c>
      <c r="S3" s="2">
        <v>1</v>
      </c>
      <c r="T3" s="2">
        <v>0</v>
      </c>
      <c r="U3" s="2">
        <v>0</v>
      </c>
      <c r="V3" s="2">
        <v>0</v>
      </c>
      <c r="W3" s="2">
        <v>0</v>
      </c>
      <c r="X3">
        <v>1</v>
      </c>
      <c r="Y3">
        <v>0</v>
      </c>
      <c r="Z3">
        <v>-2</v>
      </c>
      <c r="AA3" s="15" t="s">
        <v>794</v>
      </c>
    </row>
    <row r="4" spans="1:27" ht="13.5" customHeight="1" x14ac:dyDescent="0.25">
      <c r="A4" s="34" t="str">
        <f t="shared" si="0"/>
        <v>F058</v>
      </c>
      <c r="B4" t="str">
        <f t="shared" si="1"/>
        <v>139</v>
      </c>
      <c r="C4" s="34" t="str">
        <f t="shared" si="2"/>
        <v>735</v>
      </c>
      <c r="D4" s="26">
        <f>IF(select!$H$16=1,Tabelle2[[#This Row],[Kreuz]],IF(select!$H$16=2,Tabelle2[[#This Row],[Linear]],0))</f>
        <v>1</v>
      </c>
      <c r="E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" s="26">
        <f>IF(Tabelle2[[#This Row],[37/32]]=1,1,IF(Tabelle2[[#This Row],[28/32]]=1,2,0))</f>
        <v>1</v>
      </c>
      <c r="G4" s="26">
        <f>IF(Tabelle2[[#This Row],[Kreuz/linear]]+Tabelle2[[#This Row],[Befestigung]]=2,1,0)</f>
        <v>0</v>
      </c>
      <c r="H4" s="26">
        <f>IF(Tabelle2[[#This Row],[Randbedingungen]]+IF(Tabelle2[[#This Row],[Höhe]]=select!$B$29,1,0)=2,1,0)</f>
        <v>0</v>
      </c>
      <c r="I4" s="26">
        <f>IF(Tabelle2[[#This Row],[Randbedingungen]]+IF(Tabelle2[[#This Row],[Höhe]]=select!$D$29,1,0)=2,1,0)</f>
        <v>0</v>
      </c>
      <c r="J4" s="26">
        <f>IF(Tabelle2[[#This Row],[Randbedingungen]]+IF(Tabelle2[[#This Row],[Höhe]]=select!$F$29,1,0)=2,1,0)</f>
        <v>0</v>
      </c>
      <c r="K4" s="26">
        <f>IF(Tabelle2[[#This Row],[Randbedingungen]]+IF(Tabelle2[[#This Row],[Höhe]]=select!$H$29,1,0)=2,1,0)</f>
        <v>0</v>
      </c>
      <c r="L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" s="43">
        <f ca="1">IF(Tabelle2[[#This Row],[Kröpfung 3]]+Tabelle2[[#This Row],[Kröpfung 0]]+Tabelle2[[#This Row],[Kröpfung 9,5]]+Tabelle2[[#This Row],[Kröpfung 19]]+Tabelle2[[#This Row],[auswahl K]]=2,1,0)</f>
        <v>0</v>
      </c>
      <c r="N4" s="36" t="str">
        <f ca="1">Sprache!$A$46</f>
        <v>ECO Cross mounting plate TIOMOS</v>
      </c>
      <c r="O4" t="s">
        <v>805</v>
      </c>
      <c r="P4" t="str">
        <f ca="1">Sprache!$A$49</f>
        <v>TIOMOS mounting plates</v>
      </c>
      <c r="Q4" s="23">
        <v>1</v>
      </c>
      <c r="R4" s="23">
        <v>0</v>
      </c>
      <c r="S4" s="2">
        <v>0</v>
      </c>
      <c r="T4" s="2">
        <v>0</v>
      </c>
      <c r="U4" s="2">
        <v>0</v>
      </c>
      <c r="V4" s="2">
        <v>1</v>
      </c>
      <c r="W4" s="2">
        <v>0</v>
      </c>
      <c r="X4">
        <v>1</v>
      </c>
      <c r="Y4">
        <v>0</v>
      </c>
      <c r="Z4">
        <v>-2</v>
      </c>
      <c r="AA4" s="15" t="s">
        <v>804</v>
      </c>
    </row>
    <row r="5" spans="1:27" ht="13.5" customHeight="1" x14ac:dyDescent="0.25">
      <c r="A5" s="34" t="str">
        <f t="shared" si="0"/>
        <v>F058</v>
      </c>
      <c r="B5" t="str">
        <f t="shared" si="1"/>
        <v>139</v>
      </c>
      <c r="C5" s="34" t="str">
        <f t="shared" si="2"/>
        <v>785</v>
      </c>
      <c r="D5" s="26">
        <f>IF(select!$H$16=1,Tabelle2[[#This Row],[Kreuz]],IF(select!$H$16=2,Tabelle2[[#This Row],[Linear]],0))</f>
        <v>1</v>
      </c>
      <c r="E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" s="26">
        <f>IF(Tabelle2[[#This Row],[37/32]]=1,1,IF(Tabelle2[[#This Row],[28/32]]=1,2,0))</f>
        <v>2</v>
      </c>
      <c r="G5" s="26">
        <f>IF(Tabelle2[[#This Row],[Kreuz/linear]]+Tabelle2[[#This Row],[Befestigung]]=2,1,0)</f>
        <v>0</v>
      </c>
      <c r="H5" s="26">
        <f>IF(Tabelle2[[#This Row],[Randbedingungen]]+IF(Tabelle2[[#This Row],[Höhe]]=select!$B$29,1,0)=2,1,0)</f>
        <v>0</v>
      </c>
      <c r="I5" s="26">
        <f>IF(Tabelle2[[#This Row],[Randbedingungen]]+IF(Tabelle2[[#This Row],[Höhe]]=select!$D$29,1,0)=2,1,0)</f>
        <v>0</v>
      </c>
      <c r="J5" s="26">
        <f>IF(Tabelle2[[#This Row],[Randbedingungen]]+IF(Tabelle2[[#This Row],[Höhe]]=select!$F$29,1,0)=2,1,0)</f>
        <v>0</v>
      </c>
      <c r="K5" s="26">
        <f>IF(Tabelle2[[#This Row],[Randbedingungen]]+IF(Tabelle2[[#This Row],[Höhe]]=select!$H$29,1,0)=2,1,0)</f>
        <v>0</v>
      </c>
      <c r="L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" s="43">
        <f ca="1">IF(Tabelle2[[#This Row],[Kröpfung 3]]+Tabelle2[[#This Row],[Kröpfung 0]]+Tabelle2[[#This Row],[Kröpfung 9,5]]+Tabelle2[[#This Row],[Kröpfung 19]]+Tabelle2[[#This Row],[auswahl K]]=2,1,0)</f>
        <v>0</v>
      </c>
      <c r="N5" s="36" t="str">
        <f ca="1">Sprache!$A$46</f>
        <v>ECO Cross mounting plate TIOMOS</v>
      </c>
      <c r="O5" t="s">
        <v>832</v>
      </c>
      <c r="P5" t="str">
        <f ca="1">Sprache!$A$49</f>
        <v>TIOMOS mounting plates</v>
      </c>
      <c r="Q5" s="23">
        <v>1</v>
      </c>
      <c r="R5" s="23">
        <v>0</v>
      </c>
      <c r="S5" s="2">
        <v>0</v>
      </c>
      <c r="T5" s="2">
        <v>0</v>
      </c>
      <c r="U5" s="2">
        <v>0</v>
      </c>
      <c r="V5" s="2">
        <v>1</v>
      </c>
      <c r="W5" s="2">
        <v>0</v>
      </c>
      <c r="X5">
        <v>0</v>
      </c>
      <c r="Y5">
        <v>1</v>
      </c>
      <c r="Z5">
        <v>-2</v>
      </c>
      <c r="AA5" s="15" t="s">
        <v>831</v>
      </c>
    </row>
    <row r="6" spans="1:27" ht="13.5" customHeight="1" x14ac:dyDescent="0.25">
      <c r="A6" s="34" t="str">
        <f t="shared" si="0"/>
        <v>F058</v>
      </c>
      <c r="B6" t="str">
        <f t="shared" si="1"/>
        <v>139</v>
      </c>
      <c r="C6" s="34" t="str">
        <f t="shared" si="2"/>
        <v>857</v>
      </c>
      <c r="D6" s="26">
        <f>IF(select!$H$16=1,Tabelle2[[#This Row],[Kreuz]],IF(select!$H$16=2,Tabelle2[[#This Row],[Linear]],0))</f>
        <v>1</v>
      </c>
      <c r="E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" s="26">
        <f>IF(Tabelle2[[#This Row],[37/32]]=1,1,IF(Tabelle2[[#This Row],[28/32]]=1,2,0))</f>
        <v>1</v>
      </c>
      <c r="G6" s="26">
        <f>IF(Tabelle2[[#This Row],[Kreuz/linear]]+Tabelle2[[#This Row],[Befestigung]]=2,1,0)</f>
        <v>0</v>
      </c>
      <c r="H6" s="26">
        <f>IF(Tabelle2[[#This Row],[Randbedingungen]]+IF(Tabelle2[[#This Row],[Höhe]]=select!$B$29,1,0)=2,1,0)</f>
        <v>0</v>
      </c>
      <c r="I6" s="26">
        <f>IF(Tabelle2[[#This Row],[Randbedingungen]]+IF(Tabelle2[[#This Row],[Höhe]]=select!$D$29,1,0)=2,1,0)</f>
        <v>0</v>
      </c>
      <c r="J6" s="26">
        <f>IF(Tabelle2[[#This Row],[Randbedingungen]]+IF(Tabelle2[[#This Row],[Höhe]]=select!$F$29,1,0)=2,1,0)</f>
        <v>0</v>
      </c>
      <c r="K6" s="26">
        <f>IF(Tabelle2[[#This Row],[Randbedingungen]]+IF(Tabelle2[[#This Row],[Höhe]]=select!$H$29,1,0)=2,1,0)</f>
        <v>0</v>
      </c>
      <c r="L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" s="43">
        <f ca="1">IF(Tabelle2[[#This Row],[Kröpfung 3]]+Tabelle2[[#This Row],[Kröpfung 0]]+Tabelle2[[#This Row],[Kröpfung 9,5]]+Tabelle2[[#This Row],[Kröpfung 19]]+Tabelle2[[#This Row],[auswahl K]]=2,1,0)</f>
        <v>0</v>
      </c>
      <c r="N6" s="36" t="str">
        <f ca="1">Sprache!$A$46</f>
        <v>ECO Cross mounting plate TIOMOS</v>
      </c>
      <c r="O6" t="s">
        <v>858</v>
      </c>
      <c r="P6" t="str">
        <f ca="1">Sprache!$A$49</f>
        <v>TIOMOS mounting plates</v>
      </c>
      <c r="Q6" s="23">
        <v>1</v>
      </c>
      <c r="R6" s="23">
        <v>0</v>
      </c>
      <c r="S6" s="2">
        <v>0</v>
      </c>
      <c r="T6" s="2">
        <v>0</v>
      </c>
      <c r="U6" s="2">
        <v>0</v>
      </c>
      <c r="V6" s="2">
        <v>0</v>
      </c>
      <c r="W6" s="2">
        <v>1</v>
      </c>
      <c r="X6">
        <v>1</v>
      </c>
      <c r="Y6">
        <v>0</v>
      </c>
      <c r="Z6">
        <v>-2</v>
      </c>
      <c r="AA6" s="15" t="s">
        <v>857</v>
      </c>
    </row>
    <row r="7" spans="1:27" ht="13.5" customHeight="1" x14ac:dyDescent="0.25">
      <c r="A7" s="34" t="str">
        <f t="shared" si="0"/>
        <v>F058</v>
      </c>
      <c r="B7" t="str">
        <f t="shared" si="1"/>
        <v>139</v>
      </c>
      <c r="C7" s="34" t="str">
        <f t="shared" si="2"/>
        <v>721</v>
      </c>
      <c r="D7" s="26">
        <f>IF(select!$H$16=1,Tabelle2[[#This Row],[Kreuz]],IF(select!$H$16=2,Tabelle2[[#This Row],[Linear]],0))</f>
        <v>1</v>
      </c>
      <c r="E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" s="26">
        <f>IF(Tabelle2[[#This Row],[37/32]]=1,1,IF(Tabelle2[[#This Row],[28/32]]=1,2,0))</f>
        <v>1</v>
      </c>
      <c r="G7" s="26">
        <f>IF(Tabelle2[[#This Row],[Kreuz/linear]]+Tabelle2[[#This Row],[Befestigung]]=2,1,0)</f>
        <v>0</v>
      </c>
      <c r="H7" s="26">
        <f>IF(Tabelle2[[#This Row],[Randbedingungen]]+IF(Tabelle2[[#This Row],[Höhe]]=select!$B$29,1,0)=2,1,0)</f>
        <v>0</v>
      </c>
      <c r="I7" s="26">
        <f>IF(Tabelle2[[#This Row],[Randbedingungen]]+IF(Tabelle2[[#This Row],[Höhe]]=select!$D$29,1,0)=2,1,0)</f>
        <v>0</v>
      </c>
      <c r="J7" s="26">
        <f>IF(Tabelle2[[#This Row],[Randbedingungen]]+IF(Tabelle2[[#This Row],[Höhe]]=select!$F$29,1,0)=2,1,0)</f>
        <v>0</v>
      </c>
      <c r="K7" s="26">
        <f>IF(Tabelle2[[#This Row],[Randbedingungen]]+IF(Tabelle2[[#This Row],[Höhe]]=select!$H$29,1,0)=2,1,0)</f>
        <v>0</v>
      </c>
      <c r="L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" s="43">
        <f ca="1">IF(Tabelle2[[#This Row],[Kröpfung 3]]+Tabelle2[[#This Row],[Kröpfung 0]]+Tabelle2[[#This Row],[Kröpfung 9,5]]+Tabelle2[[#This Row],[Kröpfung 19]]+Tabelle2[[#This Row],[auswahl K]]=2,1,0)</f>
        <v>0</v>
      </c>
      <c r="N7" s="36" t="str">
        <f ca="1">Sprache!$A$46</f>
        <v>ECO Cross mounting plate TIOMOS</v>
      </c>
      <c r="O7" t="s">
        <v>787</v>
      </c>
      <c r="P7" t="str">
        <f ca="1">Sprache!$A$49</f>
        <v>TIOMOS mounting plates</v>
      </c>
      <c r="Q7" s="23">
        <v>1</v>
      </c>
      <c r="R7" s="23">
        <v>0</v>
      </c>
      <c r="S7" s="2">
        <v>0</v>
      </c>
      <c r="T7" s="2">
        <v>1</v>
      </c>
      <c r="U7" s="2">
        <v>0</v>
      </c>
      <c r="V7" s="2">
        <v>0</v>
      </c>
      <c r="W7" s="2">
        <v>0</v>
      </c>
      <c r="X7">
        <v>1</v>
      </c>
      <c r="Y7">
        <v>0</v>
      </c>
      <c r="Z7">
        <v>0</v>
      </c>
      <c r="AA7" s="15" t="s">
        <v>786</v>
      </c>
    </row>
    <row r="8" spans="1:27" ht="13.5" customHeight="1" x14ac:dyDescent="0.25">
      <c r="A8" s="34" t="str">
        <f t="shared" si="0"/>
        <v>F058</v>
      </c>
      <c r="B8" t="str">
        <f t="shared" si="1"/>
        <v>139</v>
      </c>
      <c r="C8" s="34" t="str">
        <f t="shared" si="2"/>
        <v>726</v>
      </c>
      <c r="D8" s="26">
        <f>IF(select!$H$16=1,Tabelle2[[#This Row],[Kreuz]],IF(select!$H$16=2,Tabelle2[[#This Row],[Linear]],0))</f>
        <v>1</v>
      </c>
      <c r="E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" s="26">
        <f>IF(Tabelle2[[#This Row],[37/32]]=1,1,IF(Tabelle2[[#This Row],[28/32]]=1,2,0))</f>
        <v>1</v>
      </c>
      <c r="G8" s="26">
        <f>IF(Tabelle2[[#This Row],[Kreuz/linear]]+Tabelle2[[#This Row],[Befestigung]]=2,1,0)</f>
        <v>0</v>
      </c>
      <c r="H8" s="26">
        <f>IF(Tabelle2[[#This Row],[Randbedingungen]]+IF(Tabelle2[[#This Row],[Höhe]]=select!$B$29,1,0)=2,1,0)</f>
        <v>0</v>
      </c>
      <c r="I8" s="26">
        <f>IF(Tabelle2[[#This Row],[Randbedingungen]]+IF(Tabelle2[[#This Row],[Höhe]]=select!$D$29,1,0)=2,1,0)</f>
        <v>0</v>
      </c>
      <c r="J8" s="26">
        <f>IF(Tabelle2[[#This Row],[Randbedingungen]]+IF(Tabelle2[[#This Row],[Höhe]]=select!$F$29,1,0)=2,1,0)</f>
        <v>0</v>
      </c>
      <c r="K8" s="26">
        <f>IF(Tabelle2[[#This Row],[Randbedingungen]]+IF(Tabelle2[[#This Row],[Höhe]]=select!$H$29,1,0)=2,1,0)</f>
        <v>0</v>
      </c>
      <c r="L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" s="43">
        <f ca="1">IF(Tabelle2[[#This Row],[Kröpfung 3]]+Tabelle2[[#This Row],[Kröpfung 0]]+Tabelle2[[#This Row],[Kröpfung 9,5]]+Tabelle2[[#This Row],[Kröpfung 19]]+Tabelle2[[#This Row],[auswahl K]]=2,1,0)</f>
        <v>0</v>
      </c>
      <c r="N8" s="36" t="str">
        <f ca="1">Sprache!$A$46</f>
        <v>ECO Cross mounting plate TIOMOS</v>
      </c>
      <c r="O8" t="s">
        <v>797</v>
      </c>
      <c r="P8" t="str">
        <f ca="1">Sprache!$A$49</f>
        <v>TIOMOS mounting plates</v>
      </c>
      <c r="Q8" s="23">
        <v>1</v>
      </c>
      <c r="R8" s="23">
        <v>0</v>
      </c>
      <c r="S8" s="2">
        <v>1</v>
      </c>
      <c r="T8" s="2">
        <v>0</v>
      </c>
      <c r="U8" s="2">
        <v>0</v>
      </c>
      <c r="V8" s="2">
        <v>0</v>
      </c>
      <c r="W8" s="2">
        <v>0</v>
      </c>
      <c r="X8">
        <v>1</v>
      </c>
      <c r="Y8">
        <v>0</v>
      </c>
      <c r="Z8">
        <v>0</v>
      </c>
      <c r="AA8" s="15" t="s">
        <v>796</v>
      </c>
    </row>
    <row r="9" spans="1:27" ht="13.5" customHeight="1" x14ac:dyDescent="0.25">
      <c r="A9" s="34" t="str">
        <f t="shared" si="0"/>
        <v>F058</v>
      </c>
      <c r="B9" t="str">
        <f t="shared" si="1"/>
        <v>139</v>
      </c>
      <c r="C9" s="34" t="str">
        <f t="shared" si="2"/>
        <v>736</v>
      </c>
      <c r="D9" s="26">
        <f>IF(select!$H$16=1,Tabelle2[[#This Row],[Kreuz]],IF(select!$H$16=2,Tabelle2[[#This Row],[Linear]],0))</f>
        <v>1</v>
      </c>
      <c r="E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" s="26">
        <f>IF(Tabelle2[[#This Row],[37/32]]=1,1,IF(Tabelle2[[#This Row],[28/32]]=1,2,0))</f>
        <v>1</v>
      </c>
      <c r="G9" s="26">
        <f>IF(Tabelle2[[#This Row],[Kreuz/linear]]+Tabelle2[[#This Row],[Befestigung]]=2,1,0)</f>
        <v>0</v>
      </c>
      <c r="H9" s="26">
        <f>IF(Tabelle2[[#This Row],[Randbedingungen]]+IF(Tabelle2[[#This Row],[Höhe]]=select!$B$29,1,0)=2,1,0)</f>
        <v>0</v>
      </c>
      <c r="I9" s="26">
        <f>IF(Tabelle2[[#This Row],[Randbedingungen]]+IF(Tabelle2[[#This Row],[Höhe]]=select!$D$29,1,0)=2,1,0)</f>
        <v>0</v>
      </c>
      <c r="J9" s="26">
        <f>IF(Tabelle2[[#This Row],[Randbedingungen]]+IF(Tabelle2[[#This Row],[Höhe]]=select!$F$29,1,0)=2,1,0)</f>
        <v>0</v>
      </c>
      <c r="K9" s="26">
        <f>IF(Tabelle2[[#This Row],[Randbedingungen]]+IF(Tabelle2[[#This Row],[Höhe]]=select!$H$29,1,0)=2,1,0)</f>
        <v>0</v>
      </c>
      <c r="L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" s="43">
        <f ca="1">IF(Tabelle2[[#This Row],[Kröpfung 3]]+Tabelle2[[#This Row],[Kröpfung 0]]+Tabelle2[[#This Row],[Kröpfung 9,5]]+Tabelle2[[#This Row],[Kröpfung 19]]+Tabelle2[[#This Row],[auswahl K]]=2,1,0)</f>
        <v>0</v>
      </c>
      <c r="N9" s="36" t="str">
        <f ca="1">Sprache!$A$46</f>
        <v>ECO Cross mounting plate TIOMOS</v>
      </c>
      <c r="O9" t="s">
        <v>807</v>
      </c>
      <c r="P9" t="str">
        <f ca="1">Sprache!$A$49</f>
        <v>TIOMOS mounting plates</v>
      </c>
      <c r="Q9" s="23">
        <v>1</v>
      </c>
      <c r="R9" s="23">
        <v>0</v>
      </c>
      <c r="S9" s="2">
        <v>0</v>
      </c>
      <c r="T9" s="2">
        <v>0</v>
      </c>
      <c r="U9" s="2">
        <v>0</v>
      </c>
      <c r="V9" s="2">
        <v>1</v>
      </c>
      <c r="W9" s="2">
        <v>0</v>
      </c>
      <c r="X9">
        <v>1</v>
      </c>
      <c r="Y9">
        <v>0</v>
      </c>
      <c r="Z9">
        <v>0</v>
      </c>
      <c r="AA9" s="15" t="s">
        <v>806</v>
      </c>
    </row>
    <row r="10" spans="1:27" ht="13.5" customHeight="1" x14ac:dyDescent="0.25">
      <c r="A10" s="34" t="str">
        <f t="shared" si="0"/>
        <v>F058</v>
      </c>
      <c r="B10" t="str">
        <f t="shared" si="1"/>
        <v>139</v>
      </c>
      <c r="C10" s="34" t="str">
        <f t="shared" si="2"/>
        <v>746</v>
      </c>
      <c r="D10" s="26">
        <f>IF(select!$H$16=1,Tabelle2[[#This Row],[Kreuz]],IF(select!$H$16=2,Tabelle2[[#This Row],[Linear]],0))</f>
        <v>1</v>
      </c>
      <c r="E1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0" s="26">
        <f>IF(Tabelle2[[#This Row],[37/32]]=1,1,IF(Tabelle2[[#This Row],[28/32]]=1,2,0))</f>
        <v>1</v>
      </c>
      <c r="G10" s="26">
        <f>IF(Tabelle2[[#This Row],[Kreuz/linear]]+Tabelle2[[#This Row],[Befestigung]]=2,1,0)</f>
        <v>0</v>
      </c>
      <c r="H10" s="26">
        <f>IF(Tabelle2[[#This Row],[Randbedingungen]]+IF(Tabelle2[[#This Row],[Höhe]]=select!$B$29,1,0)=2,1,0)</f>
        <v>0</v>
      </c>
      <c r="I10" s="26">
        <f>IF(Tabelle2[[#This Row],[Randbedingungen]]+IF(Tabelle2[[#This Row],[Höhe]]=select!$D$29,1,0)=2,1,0)</f>
        <v>0</v>
      </c>
      <c r="J10" s="26">
        <f>IF(Tabelle2[[#This Row],[Randbedingungen]]+IF(Tabelle2[[#This Row],[Höhe]]=select!$F$29,1,0)=2,1,0)</f>
        <v>0</v>
      </c>
      <c r="K10" s="26">
        <f>IF(Tabelle2[[#This Row],[Randbedingungen]]+IF(Tabelle2[[#This Row],[Höhe]]=select!$H$29,1,0)=2,1,0)</f>
        <v>0</v>
      </c>
      <c r="L1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0" s="43">
        <f ca="1">IF(Tabelle2[[#This Row],[Kröpfung 3]]+Tabelle2[[#This Row],[Kröpfung 0]]+Tabelle2[[#This Row],[Kröpfung 9,5]]+Tabelle2[[#This Row],[Kröpfung 19]]+Tabelle2[[#This Row],[auswahl K]]=2,1,0)</f>
        <v>0</v>
      </c>
      <c r="N10" s="36" t="str">
        <f ca="1">Sprache!$A$45</f>
        <v>1D Cross mounting plate TIOMOS</v>
      </c>
      <c r="O10" t="s">
        <v>787</v>
      </c>
      <c r="P10" t="str">
        <f ca="1">Sprache!$A$49</f>
        <v>TIOMOS mounting plates</v>
      </c>
      <c r="Q10" s="23">
        <v>1</v>
      </c>
      <c r="R10" s="23">
        <v>0</v>
      </c>
      <c r="S10" s="2">
        <v>0</v>
      </c>
      <c r="T10" s="2">
        <v>1</v>
      </c>
      <c r="U10" s="2">
        <v>0</v>
      </c>
      <c r="V10" s="2">
        <v>0</v>
      </c>
      <c r="W10" s="2">
        <v>0</v>
      </c>
      <c r="X10">
        <v>1</v>
      </c>
      <c r="Y10">
        <v>0</v>
      </c>
      <c r="Z10">
        <v>0</v>
      </c>
      <c r="AA10" s="15" t="s">
        <v>814</v>
      </c>
    </row>
    <row r="11" spans="1:27" ht="13.5" customHeight="1" x14ac:dyDescent="0.25">
      <c r="A11" s="34" t="str">
        <f t="shared" si="0"/>
        <v>F058</v>
      </c>
      <c r="B11" t="str">
        <f t="shared" si="1"/>
        <v>139</v>
      </c>
      <c r="C11" s="34" t="str">
        <f t="shared" si="2"/>
        <v>751</v>
      </c>
      <c r="D11" s="26">
        <f>IF(select!$H$16=1,Tabelle2[[#This Row],[Kreuz]],IF(select!$H$16=2,Tabelle2[[#This Row],[Linear]],0))</f>
        <v>1</v>
      </c>
      <c r="E1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1" s="26">
        <f>IF(Tabelle2[[#This Row],[37/32]]=1,1,IF(Tabelle2[[#This Row],[28/32]]=1,2,0))</f>
        <v>1</v>
      </c>
      <c r="G11" s="26">
        <f>IF(Tabelle2[[#This Row],[Kreuz/linear]]+Tabelle2[[#This Row],[Befestigung]]=2,1,0)</f>
        <v>0</v>
      </c>
      <c r="H11" s="26">
        <f>IF(Tabelle2[[#This Row],[Randbedingungen]]+IF(Tabelle2[[#This Row],[Höhe]]=select!$B$29,1,0)=2,1,0)</f>
        <v>0</v>
      </c>
      <c r="I11" s="26">
        <f>IF(Tabelle2[[#This Row],[Randbedingungen]]+IF(Tabelle2[[#This Row],[Höhe]]=select!$D$29,1,0)=2,1,0)</f>
        <v>0</v>
      </c>
      <c r="J11" s="26">
        <f>IF(Tabelle2[[#This Row],[Randbedingungen]]+IF(Tabelle2[[#This Row],[Höhe]]=select!$F$29,1,0)=2,1,0)</f>
        <v>0</v>
      </c>
      <c r="K11" s="26">
        <f>IF(Tabelle2[[#This Row],[Randbedingungen]]+IF(Tabelle2[[#This Row],[Höhe]]=select!$H$29,1,0)=2,1,0)</f>
        <v>0</v>
      </c>
      <c r="L1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1" s="43">
        <f ca="1">IF(Tabelle2[[#This Row],[Kröpfung 3]]+Tabelle2[[#This Row],[Kröpfung 0]]+Tabelle2[[#This Row],[Kröpfung 9,5]]+Tabelle2[[#This Row],[Kröpfung 19]]+Tabelle2[[#This Row],[auswahl K]]=2,1,0)</f>
        <v>0</v>
      </c>
      <c r="N11" s="36" t="str">
        <f ca="1">Sprache!$A$45</f>
        <v>1D Cross mounting plate TIOMOS</v>
      </c>
      <c r="O11" t="s">
        <v>797</v>
      </c>
      <c r="P11" t="str">
        <f ca="1">Sprache!$A$49</f>
        <v>TIOMOS mounting plates</v>
      </c>
      <c r="Q11" s="23">
        <v>1</v>
      </c>
      <c r="R11" s="23">
        <v>0</v>
      </c>
      <c r="S11" s="2">
        <v>1</v>
      </c>
      <c r="T11" s="2">
        <v>0</v>
      </c>
      <c r="U11" s="2">
        <v>0</v>
      </c>
      <c r="V11" s="2">
        <v>0</v>
      </c>
      <c r="W11" s="2">
        <v>0</v>
      </c>
      <c r="X11">
        <v>1</v>
      </c>
      <c r="Y11">
        <v>0</v>
      </c>
      <c r="Z11">
        <v>0</v>
      </c>
      <c r="AA11" s="15" t="s">
        <v>53</v>
      </c>
    </row>
    <row r="12" spans="1:27" ht="13.5" customHeight="1" x14ac:dyDescent="0.25">
      <c r="A12" s="34" t="str">
        <f t="shared" si="0"/>
        <v>F058</v>
      </c>
      <c r="B12" t="str">
        <f t="shared" si="1"/>
        <v>139</v>
      </c>
      <c r="C12" s="34" t="str">
        <f t="shared" si="2"/>
        <v>756</v>
      </c>
      <c r="D12" s="26">
        <f>IF(select!$H$16=1,Tabelle2[[#This Row],[Kreuz]],IF(select!$H$16=2,Tabelle2[[#This Row],[Linear]],0))</f>
        <v>1</v>
      </c>
      <c r="E1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1</v>
      </c>
      <c r="F12" s="26">
        <f>IF(Tabelle2[[#This Row],[37/32]]=1,1,IF(Tabelle2[[#This Row],[28/32]]=1,2,0))</f>
        <v>1</v>
      </c>
      <c r="G12" s="26">
        <f>IF(Tabelle2[[#This Row],[Kreuz/linear]]+Tabelle2[[#This Row],[Befestigung]]=2,1,0)</f>
        <v>1</v>
      </c>
      <c r="H12" s="26">
        <f>IF(Tabelle2[[#This Row],[Randbedingungen]]+IF(Tabelle2[[#This Row],[Höhe]]=select!$B$29,1,0)=2,1,0)</f>
        <v>0</v>
      </c>
      <c r="I12" s="26">
        <f>IF(Tabelle2[[#This Row],[Randbedingungen]]+IF(Tabelle2[[#This Row],[Höhe]]=select!$D$29,1,0)=2,1,0)</f>
        <v>0</v>
      </c>
      <c r="J12" s="26">
        <f>IF(Tabelle2[[#This Row],[Randbedingungen]]+IF(Tabelle2[[#This Row],[Höhe]]=select!$F$29,1,0)=2,1,0)</f>
        <v>0</v>
      </c>
      <c r="K12" s="26">
        <f>IF(Tabelle2[[#This Row],[Randbedingungen]]+IF(Tabelle2[[#This Row],[Höhe]]=select!$H$29,1,0)=2,1,0)</f>
        <v>0</v>
      </c>
      <c r="L1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2" s="43">
        <f ca="1">IF(Tabelle2[[#This Row],[Kröpfung 3]]+Tabelle2[[#This Row],[Kröpfung 0]]+Tabelle2[[#This Row],[Kröpfung 9,5]]+Tabelle2[[#This Row],[Kröpfung 19]]+Tabelle2[[#This Row],[auswahl K]]=2,1,0)</f>
        <v>0</v>
      </c>
      <c r="N12" s="36" t="str">
        <f ca="1">Sprache!$A$45</f>
        <v>1D Cross mounting plate TIOMOS</v>
      </c>
      <c r="O12" t="s">
        <v>820</v>
      </c>
      <c r="P12" t="str">
        <f ca="1">Sprache!$A$49</f>
        <v>TIOMOS mounting plates</v>
      </c>
      <c r="Q12" s="23">
        <v>1</v>
      </c>
      <c r="R12" s="23">
        <v>0</v>
      </c>
      <c r="S12" s="2">
        <v>0</v>
      </c>
      <c r="T12" s="2">
        <v>0</v>
      </c>
      <c r="U12" s="2">
        <v>1</v>
      </c>
      <c r="V12" s="2">
        <v>0</v>
      </c>
      <c r="W12" s="2">
        <v>0</v>
      </c>
      <c r="X12">
        <v>1</v>
      </c>
      <c r="Y12">
        <v>0</v>
      </c>
      <c r="Z12">
        <v>0</v>
      </c>
      <c r="AA12" s="15" t="s">
        <v>819</v>
      </c>
    </row>
    <row r="13" spans="1:27" ht="13.5" customHeight="1" x14ac:dyDescent="0.25">
      <c r="A13" s="34" t="str">
        <f t="shared" si="0"/>
        <v>F058</v>
      </c>
      <c r="B13" t="str">
        <f t="shared" si="1"/>
        <v>139</v>
      </c>
      <c r="C13" s="34" t="str">
        <f t="shared" si="2"/>
        <v>761</v>
      </c>
      <c r="D13" s="26">
        <f>IF(select!$H$16=1,Tabelle2[[#This Row],[Kreuz]],IF(select!$H$16=2,Tabelle2[[#This Row],[Linear]],0))</f>
        <v>1</v>
      </c>
      <c r="E1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3" s="26">
        <f>IF(Tabelle2[[#This Row],[37/32]]=1,1,IF(Tabelle2[[#This Row],[28/32]]=1,2,0))</f>
        <v>1</v>
      </c>
      <c r="G13" s="26">
        <f>IF(Tabelle2[[#This Row],[Kreuz/linear]]+Tabelle2[[#This Row],[Befestigung]]=2,1,0)</f>
        <v>0</v>
      </c>
      <c r="H13" s="26">
        <f>IF(Tabelle2[[#This Row],[Randbedingungen]]+IF(Tabelle2[[#This Row],[Höhe]]=select!$B$29,1,0)=2,1,0)</f>
        <v>0</v>
      </c>
      <c r="I13" s="26">
        <f>IF(Tabelle2[[#This Row],[Randbedingungen]]+IF(Tabelle2[[#This Row],[Höhe]]=select!$D$29,1,0)=2,1,0)</f>
        <v>0</v>
      </c>
      <c r="J13" s="26">
        <f>IF(Tabelle2[[#This Row],[Randbedingungen]]+IF(Tabelle2[[#This Row],[Höhe]]=select!$F$29,1,0)=2,1,0)</f>
        <v>0</v>
      </c>
      <c r="K13" s="26">
        <f>IF(Tabelle2[[#This Row],[Randbedingungen]]+IF(Tabelle2[[#This Row],[Höhe]]=select!$H$29,1,0)=2,1,0)</f>
        <v>0</v>
      </c>
      <c r="L1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3" s="43">
        <f ca="1">IF(Tabelle2[[#This Row],[Kröpfung 3]]+Tabelle2[[#This Row],[Kröpfung 0]]+Tabelle2[[#This Row],[Kröpfung 9,5]]+Tabelle2[[#This Row],[Kröpfung 19]]+Tabelle2[[#This Row],[auswahl K]]=2,1,0)</f>
        <v>0</v>
      </c>
      <c r="N13" s="36" t="str">
        <f ca="1">Sprache!$A$45</f>
        <v>1D Cross mounting plate TIOMOS</v>
      </c>
      <c r="O13" t="str">
        <f ca="1">"H 00, "&amp;Sprache!A50&amp;", ni /37"</f>
        <v>H 00, prem. Euro screws, ni /37</v>
      </c>
      <c r="P13" t="str">
        <f ca="1">Sprache!$A$49</f>
        <v>TIOMOS mounting plates</v>
      </c>
      <c r="Q13" s="23">
        <v>1</v>
      </c>
      <c r="R13" s="23">
        <v>0</v>
      </c>
      <c r="S13" s="2">
        <v>0</v>
      </c>
      <c r="T13" s="2">
        <v>0</v>
      </c>
      <c r="U13" s="2">
        <v>0</v>
      </c>
      <c r="V13" s="2">
        <v>1</v>
      </c>
      <c r="W13" s="2">
        <v>0</v>
      </c>
      <c r="X13">
        <v>1</v>
      </c>
      <c r="Y13">
        <v>0</v>
      </c>
      <c r="Z13">
        <v>0</v>
      </c>
      <c r="AA13" s="15" t="s">
        <v>827</v>
      </c>
    </row>
    <row r="14" spans="1:27" ht="13.5" customHeight="1" x14ac:dyDescent="0.25">
      <c r="A14" s="34" t="str">
        <f t="shared" si="0"/>
        <v>F058</v>
      </c>
      <c r="B14" t="str">
        <f t="shared" si="1"/>
        <v>139</v>
      </c>
      <c r="C14" s="34" t="str">
        <f t="shared" si="2"/>
        <v>786</v>
      </c>
      <c r="D14" s="26">
        <f>IF(select!$H$16=1,Tabelle2[[#This Row],[Kreuz]],IF(select!$H$16=2,Tabelle2[[#This Row],[Linear]],0))</f>
        <v>1</v>
      </c>
      <c r="E1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4" s="26">
        <f>IF(Tabelle2[[#This Row],[37/32]]=1,1,IF(Tabelle2[[#This Row],[28/32]]=1,2,0))</f>
        <v>2</v>
      </c>
      <c r="G14" s="26">
        <f>IF(Tabelle2[[#This Row],[Kreuz/linear]]+Tabelle2[[#This Row],[Befestigung]]=2,1,0)</f>
        <v>0</v>
      </c>
      <c r="H14" s="26">
        <f>IF(Tabelle2[[#This Row],[Randbedingungen]]+IF(Tabelle2[[#This Row],[Höhe]]=select!$B$29,1,0)=2,1,0)</f>
        <v>0</v>
      </c>
      <c r="I14" s="26">
        <f>IF(Tabelle2[[#This Row],[Randbedingungen]]+IF(Tabelle2[[#This Row],[Höhe]]=select!$D$29,1,0)=2,1,0)</f>
        <v>0</v>
      </c>
      <c r="J14" s="26">
        <f>IF(Tabelle2[[#This Row],[Randbedingungen]]+IF(Tabelle2[[#This Row],[Höhe]]=select!$F$29,1,0)=2,1,0)</f>
        <v>0</v>
      </c>
      <c r="K14" s="26">
        <f>IF(Tabelle2[[#This Row],[Randbedingungen]]+IF(Tabelle2[[#This Row],[Höhe]]=select!$H$29,1,0)=2,1,0)</f>
        <v>0</v>
      </c>
      <c r="L1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4" s="43">
        <f ca="1">IF(Tabelle2[[#This Row],[Kröpfung 3]]+Tabelle2[[#This Row],[Kröpfung 0]]+Tabelle2[[#This Row],[Kröpfung 9,5]]+Tabelle2[[#This Row],[Kröpfung 19]]+Tabelle2[[#This Row],[auswahl K]]=2,1,0)</f>
        <v>0</v>
      </c>
      <c r="N14" s="36" t="str">
        <f ca="1">Sprache!$A$46</f>
        <v>ECO Cross mounting plate TIOMOS</v>
      </c>
      <c r="O14" t="s">
        <v>834</v>
      </c>
      <c r="P14" t="str">
        <f ca="1">Sprache!$A$49</f>
        <v>TIOMOS mounting plates</v>
      </c>
      <c r="Q14" s="23">
        <v>1</v>
      </c>
      <c r="R14" s="23">
        <v>0</v>
      </c>
      <c r="S14" s="2">
        <v>0</v>
      </c>
      <c r="T14" s="2">
        <v>0</v>
      </c>
      <c r="U14" s="2">
        <v>0</v>
      </c>
      <c r="V14" s="2">
        <v>1</v>
      </c>
      <c r="W14" s="2">
        <v>0</v>
      </c>
      <c r="X14">
        <v>0</v>
      </c>
      <c r="Y14">
        <v>1</v>
      </c>
      <c r="Z14">
        <v>0</v>
      </c>
      <c r="AA14" s="15" t="s">
        <v>833</v>
      </c>
    </row>
    <row r="15" spans="1:27" ht="13.5" customHeight="1" x14ac:dyDescent="0.25">
      <c r="A15" s="34" t="str">
        <f t="shared" si="0"/>
        <v>F058</v>
      </c>
      <c r="B15" t="str">
        <f t="shared" si="1"/>
        <v>139</v>
      </c>
      <c r="C15" s="34" t="str">
        <f t="shared" si="2"/>
        <v>796</v>
      </c>
      <c r="D15" s="26">
        <f>IF(select!$H$16=1,Tabelle2[[#This Row],[Kreuz]],IF(select!$H$16=2,Tabelle2[[#This Row],[Linear]],0))</f>
        <v>1</v>
      </c>
      <c r="E1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5" s="26">
        <f>IF(Tabelle2[[#This Row],[37/32]]=1,1,IF(Tabelle2[[#This Row],[28/32]]=1,2,0))</f>
        <v>2</v>
      </c>
      <c r="G15" s="26">
        <f>IF(Tabelle2[[#This Row],[Kreuz/linear]]+Tabelle2[[#This Row],[Befestigung]]=2,1,0)</f>
        <v>0</v>
      </c>
      <c r="H15" s="26">
        <f>IF(Tabelle2[[#This Row],[Randbedingungen]]+IF(Tabelle2[[#This Row],[Höhe]]=select!$B$29,1,0)=2,1,0)</f>
        <v>0</v>
      </c>
      <c r="I15" s="26">
        <f>IF(Tabelle2[[#This Row],[Randbedingungen]]+IF(Tabelle2[[#This Row],[Höhe]]=select!$D$29,1,0)=2,1,0)</f>
        <v>0</v>
      </c>
      <c r="J15" s="26">
        <f>IF(Tabelle2[[#This Row],[Randbedingungen]]+IF(Tabelle2[[#This Row],[Höhe]]=select!$F$29,1,0)=2,1,0)</f>
        <v>0</v>
      </c>
      <c r="K15" s="26">
        <f>IF(Tabelle2[[#This Row],[Randbedingungen]]+IF(Tabelle2[[#This Row],[Höhe]]=select!$H$29,1,0)=2,1,0)</f>
        <v>0</v>
      </c>
      <c r="L1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5" s="43">
        <f ca="1">IF(Tabelle2[[#This Row],[Kröpfung 3]]+Tabelle2[[#This Row],[Kröpfung 0]]+Tabelle2[[#This Row],[Kröpfung 9,5]]+Tabelle2[[#This Row],[Kröpfung 19]]+Tabelle2[[#This Row],[auswahl K]]=2,1,0)</f>
        <v>0</v>
      </c>
      <c r="N15" s="36" t="str">
        <f ca="1">Sprache!$A$45</f>
        <v>1D Cross mounting plate TIOMOS</v>
      </c>
      <c r="O15" t="s">
        <v>841</v>
      </c>
      <c r="P15" t="str">
        <f ca="1">Sprache!$A$49</f>
        <v>TIOMOS mounting plates</v>
      </c>
      <c r="Q15" s="23">
        <v>1</v>
      </c>
      <c r="R15" s="23">
        <v>0</v>
      </c>
      <c r="S15" s="2">
        <v>0</v>
      </c>
      <c r="T15" s="2">
        <v>1</v>
      </c>
      <c r="U15" s="2">
        <v>0</v>
      </c>
      <c r="V15" s="2">
        <v>0</v>
      </c>
      <c r="W15" s="2">
        <v>0</v>
      </c>
      <c r="X15">
        <v>0</v>
      </c>
      <c r="Y15">
        <v>1</v>
      </c>
      <c r="Z15">
        <v>0</v>
      </c>
      <c r="AA15" s="15" t="s">
        <v>57</v>
      </c>
    </row>
    <row r="16" spans="1:27" ht="13.5" customHeight="1" x14ac:dyDescent="0.25">
      <c r="A16" s="34" t="str">
        <f t="shared" si="0"/>
        <v>F058</v>
      </c>
      <c r="B16" t="str">
        <f t="shared" si="1"/>
        <v>139</v>
      </c>
      <c r="C16" s="34" t="str">
        <f t="shared" si="2"/>
        <v>801</v>
      </c>
      <c r="D16" s="26">
        <f>IF(select!$H$16=1,Tabelle2[[#This Row],[Kreuz]],IF(select!$H$16=2,Tabelle2[[#This Row],[Linear]],0))</f>
        <v>1</v>
      </c>
      <c r="E1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6" s="26">
        <f>IF(Tabelle2[[#This Row],[37/32]]=1,1,IF(Tabelle2[[#This Row],[28/32]]=1,2,0))</f>
        <v>2</v>
      </c>
      <c r="G16" s="26">
        <f>IF(Tabelle2[[#This Row],[Kreuz/linear]]+Tabelle2[[#This Row],[Befestigung]]=2,1,0)</f>
        <v>0</v>
      </c>
      <c r="H16" s="26">
        <f>IF(Tabelle2[[#This Row],[Randbedingungen]]+IF(Tabelle2[[#This Row],[Höhe]]=select!$B$29,1,0)=2,1,0)</f>
        <v>0</v>
      </c>
      <c r="I16" s="26">
        <f>IF(Tabelle2[[#This Row],[Randbedingungen]]+IF(Tabelle2[[#This Row],[Höhe]]=select!$D$29,1,0)=2,1,0)</f>
        <v>0</v>
      </c>
      <c r="J16" s="26">
        <f>IF(Tabelle2[[#This Row],[Randbedingungen]]+IF(Tabelle2[[#This Row],[Höhe]]=select!$F$29,1,0)=2,1,0)</f>
        <v>0</v>
      </c>
      <c r="K16" s="26">
        <f>IF(Tabelle2[[#This Row],[Randbedingungen]]+IF(Tabelle2[[#This Row],[Höhe]]=select!$H$29,1,0)=2,1,0)</f>
        <v>0</v>
      </c>
      <c r="L1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6" s="43">
        <f ca="1">IF(Tabelle2[[#This Row],[Kröpfung 3]]+Tabelle2[[#This Row],[Kröpfung 0]]+Tabelle2[[#This Row],[Kröpfung 9,5]]+Tabelle2[[#This Row],[Kröpfung 19]]+Tabelle2[[#This Row],[auswahl K]]=2,1,0)</f>
        <v>0</v>
      </c>
      <c r="N16" s="36" t="str">
        <f ca="1">Sprache!$A$45</f>
        <v>1D Cross mounting plate TIOMOS</v>
      </c>
      <c r="O16" t="s">
        <v>846</v>
      </c>
      <c r="P16" t="str">
        <f ca="1">Sprache!$A$49</f>
        <v>TIOMOS mounting plates</v>
      </c>
      <c r="Q16" s="23">
        <v>1</v>
      </c>
      <c r="R16" s="23">
        <v>0</v>
      </c>
      <c r="S16" s="2">
        <v>1</v>
      </c>
      <c r="T16" s="2">
        <v>0</v>
      </c>
      <c r="U16" s="2">
        <v>0</v>
      </c>
      <c r="V16" s="2">
        <v>0</v>
      </c>
      <c r="W16" s="2">
        <v>0</v>
      </c>
      <c r="X16">
        <v>0</v>
      </c>
      <c r="Y16">
        <v>1</v>
      </c>
      <c r="Z16">
        <v>0</v>
      </c>
      <c r="AA16" s="15" t="s">
        <v>845</v>
      </c>
    </row>
    <row r="17" spans="1:27" ht="13.5" customHeight="1" x14ac:dyDescent="0.25">
      <c r="A17" s="34" t="str">
        <f t="shared" si="0"/>
        <v>F058</v>
      </c>
      <c r="B17" t="str">
        <f t="shared" si="1"/>
        <v>139</v>
      </c>
      <c r="C17" s="34" t="str">
        <f t="shared" si="2"/>
        <v>811</v>
      </c>
      <c r="D17" s="26">
        <f>IF(select!$H$16=1,Tabelle2[[#This Row],[Kreuz]],IF(select!$H$16=2,Tabelle2[[#This Row],[Linear]],0))</f>
        <v>1</v>
      </c>
      <c r="E1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7" s="26">
        <f>IF(Tabelle2[[#This Row],[37/32]]=1,1,IF(Tabelle2[[#This Row],[28/32]]=1,2,0))</f>
        <v>2</v>
      </c>
      <c r="G17" s="26">
        <f>IF(Tabelle2[[#This Row],[Kreuz/linear]]+Tabelle2[[#This Row],[Befestigung]]=2,1,0)</f>
        <v>0</v>
      </c>
      <c r="H17" s="26">
        <f>IF(Tabelle2[[#This Row],[Randbedingungen]]+IF(Tabelle2[[#This Row],[Höhe]]=select!$B$29,1,0)=2,1,0)</f>
        <v>0</v>
      </c>
      <c r="I17" s="26">
        <f>IF(Tabelle2[[#This Row],[Randbedingungen]]+IF(Tabelle2[[#This Row],[Höhe]]=select!$D$29,1,0)=2,1,0)</f>
        <v>0</v>
      </c>
      <c r="J17" s="26">
        <f>IF(Tabelle2[[#This Row],[Randbedingungen]]+IF(Tabelle2[[#This Row],[Höhe]]=select!$F$29,1,0)=2,1,0)</f>
        <v>0</v>
      </c>
      <c r="K17" s="26">
        <f>IF(Tabelle2[[#This Row],[Randbedingungen]]+IF(Tabelle2[[#This Row],[Höhe]]=select!$H$29,1,0)=2,1,0)</f>
        <v>0</v>
      </c>
      <c r="L1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7" s="43">
        <f ca="1">IF(Tabelle2[[#This Row],[Kröpfung 3]]+Tabelle2[[#This Row],[Kröpfung 0]]+Tabelle2[[#This Row],[Kröpfung 9,5]]+Tabelle2[[#This Row],[Kröpfung 19]]+Tabelle2[[#This Row],[auswahl K]]=2,1,0)</f>
        <v>0</v>
      </c>
      <c r="N17" s="36" t="str">
        <f ca="1">Sprache!$A$45</f>
        <v>1D Cross mounting plate TIOMOS</v>
      </c>
      <c r="O17" t="str">
        <f ca="1">"H 00, "&amp;Sprache!A50&amp;", ni /28"</f>
        <v>H 00, prem. Euro screws, ni /28</v>
      </c>
      <c r="P17" t="str">
        <f ca="1">Sprache!$A$49</f>
        <v>TIOMOS mounting plates</v>
      </c>
      <c r="Q17" s="23">
        <v>1</v>
      </c>
      <c r="R17" s="23">
        <v>0</v>
      </c>
      <c r="S17" s="2">
        <v>0</v>
      </c>
      <c r="T17" s="2">
        <v>0</v>
      </c>
      <c r="U17" s="2">
        <v>0</v>
      </c>
      <c r="V17" s="2">
        <v>1</v>
      </c>
      <c r="W17" s="2">
        <v>0</v>
      </c>
      <c r="X17">
        <v>0</v>
      </c>
      <c r="Y17">
        <v>1</v>
      </c>
      <c r="Z17">
        <v>0</v>
      </c>
      <c r="AA17" s="15" t="s">
        <v>853</v>
      </c>
    </row>
    <row r="18" spans="1:27" ht="13.5" customHeight="1" x14ac:dyDescent="0.25">
      <c r="A18" s="34" t="str">
        <f t="shared" si="0"/>
        <v>F058</v>
      </c>
      <c r="B18" t="str">
        <f t="shared" si="1"/>
        <v>139</v>
      </c>
      <c r="C18" s="34" t="str">
        <f t="shared" si="2"/>
        <v>858</v>
      </c>
      <c r="D18" s="26">
        <f>IF(select!$H$16=1,Tabelle2[[#This Row],[Kreuz]],IF(select!$H$16=2,Tabelle2[[#This Row],[Linear]],0))</f>
        <v>1</v>
      </c>
      <c r="E1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8" s="26">
        <f>IF(Tabelle2[[#This Row],[37/32]]=1,1,IF(Tabelle2[[#This Row],[28/32]]=1,2,0))</f>
        <v>1</v>
      </c>
      <c r="G18" s="26">
        <f>IF(Tabelle2[[#This Row],[Kreuz/linear]]+Tabelle2[[#This Row],[Befestigung]]=2,1,0)</f>
        <v>0</v>
      </c>
      <c r="H18" s="26">
        <f>IF(Tabelle2[[#This Row],[Randbedingungen]]+IF(Tabelle2[[#This Row],[Höhe]]=select!$B$29,1,0)=2,1,0)</f>
        <v>0</v>
      </c>
      <c r="I18" s="26">
        <f>IF(Tabelle2[[#This Row],[Randbedingungen]]+IF(Tabelle2[[#This Row],[Höhe]]=select!$D$29,1,0)=2,1,0)</f>
        <v>0</v>
      </c>
      <c r="J18" s="26">
        <f>IF(Tabelle2[[#This Row],[Randbedingungen]]+IF(Tabelle2[[#This Row],[Höhe]]=select!$F$29,1,0)=2,1,0)</f>
        <v>0</v>
      </c>
      <c r="K18" s="26">
        <f>IF(Tabelle2[[#This Row],[Randbedingungen]]+IF(Tabelle2[[#This Row],[Höhe]]=select!$H$29,1,0)=2,1,0)</f>
        <v>0</v>
      </c>
      <c r="L1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8" s="43">
        <f ca="1">IF(Tabelle2[[#This Row],[Kröpfung 3]]+Tabelle2[[#This Row],[Kröpfung 0]]+Tabelle2[[#This Row],[Kröpfung 9,5]]+Tabelle2[[#This Row],[Kröpfung 19]]+Tabelle2[[#This Row],[auswahl K]]=2,1,0)</f>
        <v>0</v>
      </c>
      <c r="N18" s="36" t="str">
        <f ca="1">Sprache!$A$46</f>
        <v>ECO Cross mounting plate TIOMOS</v>
      </c>
      <c r="O18" t="s">
        <v>860</v>
      </c>
      <c r="P18" t="str">
        <f ca="1">Sprache!$A$49</f>
        <v>TIOMOS mounting plates</v>
      </c>
      <c r="Q18" s="23">
        <v>1</v>
      </c>
      <c r="R18" s="23">
        <v>0</v>
      </c>
      <c r="S18" s="2">
        <v>0</v>
      </c>
      <c r="T18" s="2">
        <v>0</v>
      </c>
      <c r="U18" s="2">
        <v>0</v>
      </c>
      <c r="V18" s="2">
        <v>0</v>
      </c>
      <c r="W18" s="2">
        <v>1</v>
      </c>
      <c r="X18">
        <v>1</v>
      </c>
      <c r="Y18">
        <v>0</v>
      </c>
      <c r="Z18">
        <v>0</v>
      </c>
      <c r="AA18" s="15" t="s">
        <v>859</v>
      </c>
    </row>
    <row r="19" spans="1:27" ht="13.5" customHeight="1" x14ac:dyDescent="0.25">
      <c r="A19" s="34" t="str">
        <f t="shared" si="0"/>
        <v>F058</v>
      </c>
      <c r="B19" t="str">
        <f t="shared" si="1"/>
        <v>139</v>
      </c>
      <c r="C19" s="34" t="str">
        <f t="shared" si="2"/>
        <v>863</v>
      </c>
      <c r="D19" s="26">
        <f>IF(select!$H$16=1,Tabelle2[[#This Row],[Kreuz]],IF(select!$H$16=2,Tabelle2[[#This Row],[Linear]],0))</f>
        <v>1</v>
      </c>
      <c r="E1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19" s="26">
        <f>IF(Tabelle2[[#This Row],[37/32]]=1,1,IF(Tabelle2[[#This Row],[28/32]]=1,2,0))</f>
        <v>1</v>
      </c>
      <c r="G19" s="26">
        <f>IF(Tabelle2[[#This Row],[Kreuz/linear]]+Tabelle2[[#This Row],[Befestigung]]=2,1,0)</f>
        <v>0</v>
      </c>
      <c r="H19" s="26">
        <f>IF(Tabelle2[[#This Row],[Randbedingungen]]+IF(Tabelle2[[#This Row],[Höhe]]=select!$B$29,1,0)=2,1,0)</f>
        <v>0</v>
      </c>
      <c r="I19" s="26">
        <f>IF(Tabelle2[[#This Row],[Randbedingungen]]+IF(Tabelle2[[#This Row],[Höhe]]=select!$D$29,1,0)=2,1,0)</f>
        <v>0</v>
      </c>
      <c r="J19" s="26">
        <f>IF(Tabelle2[[#This Row],[Randbedingungen]]+IF(Tabelle2[[#This Row],[Höhe]]=select!$F$29,1,0)=2,1,0)</f>
        <v>0</v>
      </c>
      <c r="K19" s="26">
        <f>IF(Tabelle2[[#This Row],[Randbedingungen]]+IF(Tabelle2[[#This Row],[Höhe]]=select!$H$29,1,0)=2,1,0)</f>
        <v>0</v>
      </c>
      <c r="L1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19" s="43">
        <f ca="1">IF(Tabelle2[[#This Row],[Kröpfung 3]]+Tabelle2[[#This Row],[Kröpfung 0]]+Tabelle2[[#This Row],[Kröpfung 9,5]]+Tabelle2[[#This Row],[Kröpfung 19]]+Tabelle2[[#This Row],[auswahl K]]=2,1,0)</f>
        <v>0</v>
      </c>
      <c r="N19" s="36" t="str">
        <f ca="1">Sprache!$A$45</f>
        <v>1D Cross mounting plate TIOMOS</v>
      </c>
      <c r="O19" t="str">
        <f ca="1">"H 00, "&amp;Sprache!A51&amp;", ni /37"</f>
        <v>H 00, prem. short Euro screws, ni /37</v>
      </c>
      <c r="P19" t="str">
        <f ca="1">Sprache!$A$49</f>
        <v>TIOMOS mounting plates</v>
      </c>
      <c r="Q19" s="23">
        <v>1</v>
      </c>
      <c r="R19" s="23">
        <v>0</v>
      </c>
      <c r="S19" s="2">
        <v>0</v>
      </c>
      <c r="T19" s="2">
        <v>0</v>
      </c>
      <c r="U19" s="2">
        <v>0</v>
      </c>
      <c r="V19" s="2">
        <v>0</v>
      </c>
      <c r="W19" s="2">
        <v>1</v>
      </c>
      <c r="X19">
        <v>1</v>
      </c>
      <c r="Y19">
        <v>0</v>
      </c>
      <c r="Z19">
        <v>0</v>
      </c>
      <c r="AA19" s="15" t="s">
        <v>867</v>
      </c>
    </row>
    <row r="20" spans="1:27" ht="13.5" customHeight="1" x14ac:dyDescent="0.25">
      <c r="A20" s="34" t="str">
        <f t="shared" si="0"/>
        <v>F059</v>
      </c>
      <c r="B20" t="str">
        <f t="shared" si="1"/>
        <v>139</v>
      </c>
      <c r="C20" s="34" t="str">
        <f t="shared" si="2"/>
        <v>701</v>
      </c>
      <c r="D20" s="26">
        <f>IF(select!$H$16=1,Tabelle2[[#This Row],[Kreuz]],IF(select!$H$16=2,Tabelle2[[#This Row],[Linear]],0))</f>
        <v>0</v>
      </c>
      <c r="E2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0" s="26">
        <f>IF(Tabelle2[[#This Row],[37/32]]=1,1,IF(Tabelle2[[#This Row],[28/32]]=1,2,0))</f>
        <v>0</v>
      </c>
      <c r="G20" s="26">
        <f>IF(Tabelle2[[#This Row],[Kreuz/linear]]+Tabelle2[[#This Row],[Befestigung]]=2,1,0)</f>
        <v>0</v>
      </c>
      <c r="H20" s="26">
        <f>IF(Tabelle2[[#This Row],[Randbedingungen]]+IF(Tabelle2[[#This Row],[Höhe]]=select!$B$29,1,0)=2,1,0)</f>
        <v>0</v>
      </c>
      <c r="I20" s="26">
        <f>IF(Tabelle2[[#This Row],[Randbedingungen]]+IF(Tabelle2[[#This Row],[Höhe]]=select!$D$29,1,0)=2,1,0)</f>
        <v>0</v>
      </c>
      <c r="J20" s="26">
        <f>IF(Tabelle2[[#This Row],[Randbedingungen]]+IF(Tabelle2[[#This Row],[Höhe]]=select!$F$29,1,0)=2,1,0)</f>
        <v>0</v>
      </c>
      <c r="K20" s="26">
        <f>IF(Tabelle2[[#This Row],[Randbedingungen]]+IF(Tabelle2[[#This Row],[Höhe]]=select!$H$29,1,0)=2,1,0)</f>
        <v>0</v>
      </c>
      <c r="L2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0" s="43">
        <f ca="1">IF(Tabelle2[[#This Row],[Kröpfung 3]]+Tabelle2[[#This Row],[Kröpfung 0]]+Tabelle2[[#This Row],[Kröpfung 9,5]]+Tabelle2[[#This Row],[Kröpfung 19]]+Tabelle2[[#This Row],[auswahl K]]=2,1,0)</f>
        <v>0</v>
      </c>
      <c r="N20" s="36" t="str">
        <f ca="1">Sprache!$A$47</f>
        <v>1D linear mounting plate TIOMOS</v>
      </c>
      <c r="O20" t="s">
        <v>904</v>
      </c>
      <c r="P20" t="str">
        <f ca="1">Sprache!$A$49</f>
        <v>TIOMOS mounting plates</v>
      </c>
      <c r="Q20" s="23">
        <v>0</v>
      </c>
      <c r="R20" s="23">
        <v>1</v>
      </c>
      <c r="S20" s="2">
        <v>0</v>
      </c>
      <c r="T20" s="2">
        <v>1</v>
      </c>
      <c r="U20" s="2">
        <v>1</v>
      </c>
      <c r="V20" s="2">
        <v>0</v>
      </c>
      <c r="W20" s="2">
        <v>0</v>
      </c>
      <c r="Z20">
        <v>0</v>
      </c>
      <c r="AA20" s="15" t="s">
        <v>902</v>
      </c>
    </row>
    <row r="21" spans="1:27" ht="13.5" customHeight="1" x14ac:dyDescent="0.25">
      <c r="A21" s="34" t="str">
        <f t="shared" si="0"/>
        <v>F059</v>
      </c>
      <c r="B21" t="str">
        <f t="shared" si="1"/>
        <v>139</v>
      </c>
      <c r="C21" s="34" t="str">
        <f t="shared" si="2"/>
        <v>706</v>
      </c>
      <c r="D21" s="26">
        <f>IF(select!$H$16=1,Tabelle2[[#This Row],[Kreuz]],IF(select!$H$16=2,Tabelle2[[#This Row],[Linear]],0))</f>
        <v>0</v>
      </c>
      <c r="E2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1" s="26">
        <f>IF(Tabelle2[[#This Row],[37/32]]=1,1,IF(Tabelle2[[#This Row],[28/32]]=1,2,0))</f>
        <v>0</v>
      </c>
      <c r="G21" s="26">
        <f>IF(Tabelle2[[#This Row],[Kreuz/linear]]+Tabelle2[[#This Row],[Befestigung]]=2,1,0)</f>
        <v>0</v>
      </c>
      <c r="H21" s="26">
        <f>IF(Tabelle2[[#This Row],[Randbedingungen]]+IF(Tabelle2[[#This Row],[Höhe]]=select!$B$29,1,0)=2,1,0)</f>
        <v>0</v>
      </c>
      <c r="I21" s="26">
        <f>IF(Tabelle2[[#This Row],[Randbedingungen]]+IF(Tabelle2[[#This Row],[Höhe]]=select!$D$29,1,0)=2,1,0)</f>
        <v>0</v>
      </c>
      <c r="J21" s="26">
        <f>IF(Tabelle2[[#This Row],[Randbedingungen]]+IF(Tabelle2[[#This Row],[Höhe]]=select!$F$29,1,0)=2,1,0)</f>
        <v>0</v>
      </c>
      <c r="K21" s="26">
        <f>IF(Tabelle2[[#This Row],[Randbedingungen]]+IF(Tabelle2[[#This Row],[Höhe]]=select!$H$29,1,0)=2,1,0)</f>
        <v>0</v>
      </c>
      <c r="L2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1" s="43">
        <f ca="1">IF(Tabelle2[[#This Row],[Kröpfung 3]]+Tabelle2[[#This Row],[Kröpfung 0]]+Tabelle2[[#This Row],[Kröpfung 9,5]]+Tabelle2[[#This Row],[Kröpfung 19]]+Tabelle2[[#This Row],[auswahl K]]=2,1,0)</f>
        <v>0</v>
      </c>
      <c r="N21" s="36" t="str">
        <f ca="1">Sprache!$A$47</f>
        <v>1D linear mounting plate TIOMOS</v>
      </c>
      <c r="O21" t="s">
        <v>912</v>
      </c>
      <c r="P21" t="str">
        <f ca="1">Sprache!$A$49</f>
        <v>TIOMOS mounting plates</v>
      </c>
      <c r="Q21" s="23">
        <v>0</v>
      </c>
      <c r="R21" s="23">
        <v>1</v>
      </c>
      <c r="S21" s="2">
        <v>1</v>
      </c>
      <c r="T21" s="2">
        <v>0</v>
      </c>
      <c r="U21" s="2">
        <v>0</v>
      </c>
      <c r="V21" s="2">
        <v>0</v>
      </c>
      <c r="W21" s="2">
        <v>0</v>
      </c>
      <c r="Z21">
        <v>0</v>
      </c>
      <c r="AA21" s="15" t="s">
        <v>911</v>
      </c>
    </row>
    <row r="22" spans="1:27" ht="13.5" customHeight="1" x14ac:dyDescent="0.25">
      <c r="A22" s="34" t="str">
        <f t="shared" si="0"/>
        <v>F059</v>
      </c>
      <c r="B22" t="str">
        <f t="shared" si="1"/>
        <v>139</v>
      </c>
      <c r="C22" s="34" t="str">
        <f t="shared" si="2"/>
        <v>711</v>
      </c>
      <c r="D22" s="26">
        <f>IF(select!$H$16=1,Tabelle2[[#This Row],[Kreuz]],IF(select!$H$16=2,Tabelle2[[#This Row],[Linear]],0))</f>
        <v>0</v>
      </c>
      <c r="E2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2" s="26">
        <f>IF(Tabelle2[[#This Row],[37/32]]=1,1,IF(Tabelle2[[#This Row],[28/32]]=1,2,0))</f>
        <v>0</v>
      </c>
      <c r="G22" s="26">
        <f>IF(Tabelle2[[#This Row],[Kreuz/linear]]+Tabelle2[[#This Row],[Befestigung]]=2,1,0)</f>
        <v>0</v>
      </c>
      <c r="H22" s="26">
        <f>IF(Tabelle2[[#This Row],[Randbedingungen]]+IF(Tabelle2[[#This Row],[Höhe]]=select!$B$29,1,0)=2,1,0)</f>
        <v>0</v>
      </c>
      <c r="I22" s="26">
        <f>IF(Tabelle2[[#This Row],[Randbedingungen]]+IF(Tabelle2[[#This Row],[Höhe]]=select!$D$29,1,0)=2,1,0)</f>
        <v>0</v>
      </c>
      <c r="J22" s="26">
        <f>IF(Tabelle2[[#This Row],[Randbedingungen]]+IF(Tabelle2[[#This Row],[Höhe]]=select!$F$29,1,0)=2,1,0)</f>
        <v>0</v>
      </c>
      <c r="K22" s="26">
        <f>IF(Tabelle2[[#This Row],[Randbedingungen]]+IF(Tabelle2[[#This Row],[Höhe]]=select!$H$29,1,0)=2,1,0)</f>
        <v>0</v>
      </c>
      <c r="L2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2" s="43">
        <f ca="1">IF(Tabelle2[[#This Row],[Kröpfung 3]]+Tabelle2[[#This Row],[Kröpfung 0]]+Tabelle2[[#This Row],[Kröpfung 9,5]]+Tabelle2[[#This Row],[Kröpfung 19]]+Tabelle2[[#This Row],[auswahl K]]=2,1,0)</f>
        <v>0</v>
      </c>
      <c r="N22" s="36" t="str">
        <f ca="1">Sprache!$A$47</f>
        <v>1D linear mounting plate TIOMOS</v>
      </c>
      <c r="O22" t="str">
        <f ca="1">"H 00, "&amp;Sprache!A50&amp;", ni"</f>
        <v>H 00, prem. Euro screws, ni</v>
      </c>
      <c r="P22" t="str">
        <f ca="1">Sprache!$A$49</f>
        <v>TIOMOS mounting plates</v>
      </c>
      <c r="Q22" s="23">
        <v>0</v>
      </c>
      <c r="R22" s="23">
        <v>1</v>
      </c>
      <c r="S22" s="2">
        <v>0</v>
      </c>
      <c r="T22" s="2">
        <v>0</v>
      </c>
      <c r="U22" s="2">
        <v>0</v>
      </c>
      <c r="V22" s="2">
        <v>1</v>
      </c>
      <c r="W22" s="2">
        <v>0</v>
      </c>
      <c r="Z22">
        <v>0</v>
      </c>
      <c r="AA22" s="15" t="s">
        <v>919</v>
      </c>
    </row>
    <row r="23" spans="1:27" ht="13.5" customHeight="1" x14ac:dyDescent="0.25">
      <c r="A23" s="34" t="str">
        <f t="shared" si="0"/>
        <v>F058</v>
      </c>
      <c r="B23" t="str">
        <f t="shared" si="1"/>
        <v>139</v>
      </c>
      <c r="C23" s="34" t="str">
        <f t="shared" si="2"/>
        <v>884</v>
      </c>
      <c r="D23" s="26">
        <f>IF(select!$H$16=1,Tabelle2[[#This Row],[Kreuz]],IF(select!$H$16=2,Tabelle2[[#This Row],[Linear]],0))</f>
        <v>1</v>
      </c>
      <c r="E2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3" s="26">
        <f>IF(Tabelle2[[#This Row],[37/32]]=1,1,IF(Tabelle2[[#This Row],[28/32]]=1,2,0))</f>
        <v>1</v>
      </c>
      <c r="G23" s="26">
        <f>IF(Tabelle2[[#This Row],[Kreuz/linear]]+Tabelle2[[#This Row],[Befestigung]]=2,1,0)</f>
        <v>0</v>
      </c>
      <c r="H23" s="26">
        <f>IF(Tabelle2[[#This Row],[Randbedingungen]]+IF(Tabelle2[[#This Row],[Höhe]]=select!$B$29,1,0)=2,1,0)</f>
        <v>0</v>
      </c>
      <c r="I23" s="26">
        <f>IF(Tabelle2[[#This Row],[Randbedingungen]]+IF(Tabelle2[[#This Row],[Höhe]]=select!$D$29,1,0)=2,1,0)</f>
        <v>0</v>
      </c>
      <c r="J23" s="26">
        <f>IF(Tabelle2[[#This Row],[Randbedingungen]]+IF(Tabelle2[[#This Row],[Höhe]]=select!$F$29,1,0)=2,1,0)</f>
        <v>0</v>
      </c>
      <c r="K23" s="26">
        <f>IF(Tabelle2[[#This Row],[Randbedingungen]]+IF(Tabelle2[[#This Row],[Höhe]]=select!$H$29,1,0)=2,1,0)</f>
        <v>0</v>
      </c>
      <c r="L2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3" s="43">
        <f ca="1">IF(Tabelle2[[#This Row],[Kröpfung 3]]+Tabelle2[[#This Row],[Kröpfung 0]]+Tabelle2[[#This Row],[Kröpfung 9,5]]+Tabelle2[[#This Row],[Kröpfung 19]]+Tabelle2[[#This Row],[auswahl K]]=2,1,0)</f>
        <v>0</v>
      </c>
      <c r="N23" s="36" t="str">
        <f ca="1">Sprache!$A$45</f>
        <v>1D Cross mounting plate TIOMOS</v>
      </c>
      <c r="O23" t="str">
        <f ca="1">"H 15, "&amp;Sprache!A50&amp;", ni /37"</f>
        <v>H 15, prem. Euro screws, ni /37</v>
      </c>
      <c r="P23" t="str">
        <f ca="1">Sprache!$A$49</f>
        <v>TIOMOS mounting plates</v>
      </c>
      <c r="Q23" s="23">
        <v>1</v>
      </c>
      <c r="R23" s="23">
        <v>0</v>
      </c>
      <c r="S23" s="2">
        <v>0</v>
      </c>
      <c r="T23" s="2">
        <v>0</v>
      </c>
      <c r="U23" s="2">
        <v>0</v>
      </c>
      <c r="V23" s="2">
        <v>1</v>
      </c>
      <c r="W23" s="2">
        <v>0</v>
      </c>
      <c r="X23">
        <v>1</v>
      </c>
      <c r="Y23">
        <v>0</v>
      </c>
      <c r="Z23">
        <v>1.5</v>
      </c>
      <c r="AA23" s="15" t="s">
        <v>879</v>
      </c>
    </row>
    <row r="24" spans="1:27" ht="13.5" customHeight="1" x14ac:dyDescent="0.25">
      <c r="A24" s="34" t="str">
        <f t="shared" si="0"/>
        <v>F058</v>
      </c>
      <c r="B24" t="str">
        <f t="shared" si="1"/>
        <v>139</v>
      </c>
      <c r="C24" s="34" t="str">
        <f t="shared" si="2"/>
        <v>885</v>
      </c>
      <c r="D24" s="26">
        <f>IF(select!$H$16=1,Tabelle2[[#This Row],[Kreuz]],IF(select!$H$16=2,Tabelle2[[#This Row],[Linear]],0))</f>
        <v>1</v>
      </c>
      <c r="E2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4" s="26">
        <f>IF(Tabelle2[[#This Row],[37/32]]=1,1,IF(Tabelle2[[#This Row],[28/32]]=1,2,0))</f>
        <v>1</v>
      </c>
      <c r="G24" s="26">
        <f>IF(Tabelle2[[#This Row],[Kreuz/linear]]+Tabelle2[[#This Row],[Befestigung]]=2,1,0)</f>
        <v>0</v>
      </c>
      <c r="H24" s="26">
        <f>IF(Tabelle2[[#This Row],[Randbedingungen]]+IF(Tabelle2[[#This Row],[Höhe]]=select!$B$29,1,0)=2,1,0)</f>
        <v>0</v>
      </c>
      <c r="I24" s="26">
        <f>IF(Tabelle2[[#This Row],[Randbedingungen]]+IF(Tabelle2[[#This Row],[Höhe]]=select!$D$29,1,0)=2,1,0)</f>
        <v>0</v>
      </c>
      <c r="J24" s="26">
        <f>IF(Tabelle2[[#This Row],[Randbedingungen]]+IF(Tabelle2[[#This Row],[Höhe]]=select!$F$29,1,0)=2,1,0)</f>
        <v>0</v>
      </c>
      <c r="K24" s="26">
        <f>IF(Tabelle2[[#This Row],[Randbedingungen]]+IF(Tabelle2[[#This Row],[Höhe]]=select!$H$29,1,0)=2,1,0)</f>
        <v>0</v>
      </c>
      <c r="L2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4" s="43">
        <f ca="1">IF(Tabelle2[[#This Row],[Kröpfung 3]]+Tabelle2[[#This Row],[Kröpfung 0]]+Tabelle2[[#This Row],[Kröpfung 9,5]]+Tabelle2[[#This Row],[Kröpfung 19]]+Tabelle2[[#This Row],[auswahl K]]=2,1,0)</f>
        <v>0</v>
      </c>
      <c r="N24" s="36" t="str">
        <f ca="1">Sprache!$A$45</f>
        <v>1D Cross mounting plate TIOMOS</v>
      </c>
      <c r="O24" t="str">
        <f ca="1">"H 15.5, "&amp;Sprache!A50&amp;", ni /37"</f>
        <v>H 15.5, prem. Euro screws, ni /37</v>
      </c>
      <c r="P24" t="str">
        <f ca="1">Sprache!$A$49</f>
        <v>TIOMOS mounting plates</v>
      </c>
      <c r="Q24" s="23">
        <v>1</v>
      </c>
      <c r="R24" s="23">
        <v>0</v>
      </c>
      <c r="S24" s="2">
        <v>0</v>
      </c>
      <c r="T24" s="2">
        <v>0</v>
      </c>
      <c r="U24" s="2">
        <v>0</v>
      </c>
      <c r="V24" s="2">
        <v>1</v>
      </c>
      <c r="W24" s="2">
        <v>0</v>
      </c>
      <c r="X24">
        <v>1</v>
      </c>
      <c r="Y24">
        <v>0</v>
      </c>
      <c r="Z24">
        <v>1.5</v>
      </c>
      <c r="AA24" s="15" t="s">
        <v>880</v>
      </c>
    </row>
    <row r="25" spans="1:27" ht="13.5" customHeight="1" x14ac:dyDescent="0.25">
      <c r="A25" s="34" t="str">
        <f t="shared" si="0"/>
        <v>F058</v>
      </c>
      <c r="B25" t="str">
        <f t="shared" si="1"/>
        <v>139</v>
      </c>
      <c r="C25" s="34" t="str">
        <f t="shared" si="2"/>
        <v>890</v>
      </c>
      <c r="D25" s="26">
        <f>IF(select!$H$16=1,Tabelle2[[#This Row],[Kreuz]],IF(select!$H$16=2,Tabelle2[[#This Row],[Linear]],0))</f>
        <v>1</v>
      </c>
      <c r="E2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5" s="26">
        <f>IF(Tabelle2[[#This Row],[37/32]]=1,1,IF(Tabelle2[[#This Row],[28/32]]=1,2,0))</f>
        <v>1</v>
      </c>
      <c r="G25" s="26">
        <f>IF(Tabelle2[[#This Row],[Kreuz/linear]]+Tabelle2[[#This Row],[Befestigung]]=2,1,0)</f>
        <v>0</v>
      </c>
      <c r="H25" s="26">
        <f>IF(Tabelle2[[#This Row],[Randbedingungen]]+IF(Tabelle2[[#This Row],[Höhe]]=select!$B$29,1,0)=2,1,0)</f>
        <v>0</v>
      </c>
      <c r="I25" s="26">
        <f>IF(Tabelle2[[#This Row],[Randbedingungen]]+IF(Tabelle2[[#This Row],[Höhe]]=select!$D$29,1,0)=2,1,0)</f>
        <v>0</v>
      </c>
      <c r="J25" s="26">
        <f>IF(Tabelle2[[#This Row],[Randbedingungen]]+IF(Tabelle2[[#This Row],[Höhe]]=select!$F$29,1,0)=2,1,0)</f>
        <v>0</v>
      </c>
      <c r="K25" s="26">
        <f>IF(Tabelle2[[#This Row],[Randbedingungen]]+IF(Tabelle2[[#This Row],[Höhe]]=select!$H$29,1,0)=2,1,0)</f>
        <v>0</v>
      </c>
      <c r="L2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5" s="43">
        <f ca="1">IF(Tabelle2[[#This Row],[Kröpfung 3]]+Tabelle2[[#This Row],[Kröpfung 0]]+Tabelle2[[#This Row],[Kröpfung 9,5]]+Tabelle2[[#This Row],[Kröpfung 19]]+Tabelle2[[#This Row],[auswahl K]]=2,1,0)</f>
        <v>0</v>
      </c>
      <c r="N25" s="36" t="str">
        <f ca="1">Sprache!$A$45</f>
        <v>1D Cross mounting plate TIOMOS</v>
      </c>
      <c r="O25" t="s">
        <v>890</v>
      </c>
      <c r="P25" t="str">
        <f ca="1">Sprache!$A$49</f>
        <v>TIOMOS mounting plates</v>
      </c>
      <c r="Q25" s="23">
        <v>1</v>
      </c>
      <c r="R25" s="23">
        <v>0</v>
      </c>
      <c r="S25" s="2">
        <v>0</v>
      </c>
      <c r="T25" s="2">
        <v>1</v>
      </c>
      <c r="U25" s="2">
        <v>0</v>
      </c>
      <c r="V25" s="2">
        <v>0</v>
      </c>
      <c r="W25" s="2">
        <v>0</v>
      </c>
      <c r="X25">
        <v>1</v>
      </c>
      <c r="Y25">
        <v>0</v>
      </c>
      <c r="Z25">
        <v>1.5</v>
      </c>
      <c r="AA25" s="15" t="s">
        <v>889</v>
      </c>
    </row>
    <row r="26" spans="1:27" ht="13.5" customHeight="1" x14ac:dyDescent="0.25">
      <c r="A26" s="34" t="str">
        <f t="shared" si="0"/>
        <v>F058</v>
      </c>
      <c r="B26" t="str">
        <f t="shared" si="1"/>
        <v>139</v>
      </c>
      <c r="C26" s="34" t="str">
        <f t="shared" si="2"/>
        <v>891</v>
      </c>
      <c r="D26" s="26">
        <f>IF(select!$H$16=1,Tabelle2[[#This Row],[Kreuz]],IF(select!$H$16=2,Tabelle2[[#This Row],[Linear]],0))</f>
        <v>1</v>
      </c>
      <c r="E2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6" s="26">
        <f>IF(Tabelle2[[#This Row],[37/32]]=1,1,IF(Tabelle2[[#This Row],[28/32]]=1,2,0))</f>
        <v>1</v>
      </c>
      <c r="G26" s="26">
        <f>IF(Tabelle2[[#This Row],[Kreuz/linear]]+Tabelle2[[#This Row],[Befestigung]]=2,1,0)</f>
        <v>0</v>
      </c>
      <c r="H26" s="26">
        <f>IF(Tabelle2[[#This Row],[Randbedingungen]]+IF(Tabelle2[[#This Row],[Höhe]]=select!$B$29,1,0)=2,1,0)</f>
        <v>0</v>
      </c>
      <c r="I26" s="26">
        <f>IF(Tabelle2[[#This Row],[Randbedingungen]]+IF(Tabelle2[[#This Row],[Höhe]]=select!$D$29,1,0)=2,1,0)</f>
        <v>0</v>
      </c>
      <c r="J26" s="26">
        <f>IF(Tabelle2[[#This Row],[Randbedingungen]]+IF(Tabelle2[[#This Row],[Höhe]]=select!$F$29,1,0)=2,1,0)</f>
        <v>0</v>
      </c>
      <c r="K26" s="26">
        <f>IF(Tabelle2[[#This Row],[Randbedingungen]]+IF(Tabelle2[[#This Row],[Höhe]]=select!$H$29,1,0)=2,1,0)</f>
        <v>0</v>
      </c>
      <c r="L2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6" s="43">
        <f ca="1">IF(Tabelle2[[#This Row],[Kröpfung 3]]+Tabelle2[[#This Row],[Kröpfung 0]]+Tabelle2[[#This Row],[Kröpfung 9,5]]+Tabelle2[[#This Row],[Kröpfung 19]]+Tabelle2[[#This Row],[auswahl K]]=2,1,0)</f>
        <v>0</v>
      </c>
      <c r="N26" s="36" t="str">
        <f ca="1">Sprache!$A$45</f>
        <v>1D Cross mounting plate TIOMOS</v>
      </c>
      <c r="O26" t="s">
        <v>892</v>
      </c>
      <c r="P26" t="str">
        <f ca="1">Sprache!$A$49</f>
        <v>TIOMOS mounting plates</v>
      </c>
      <c r="Q26" s="23">
        <v>1</v>
      </c>
      <c r="R26" s="23">
        <v>0</v>
      </c>
      <c r="S26" s="2">
        <v>0</v>
      </c>
      <c r="T26" s="2">
        <v>1</v>
      </c>
      <c r="U26" s="2">
        <v>0</v>
      </c>
      <c r="V26" s="2">
        <v>0</v>
      </c>
      <c r="W26" s="2">
        <v>0</v>
      </c>
      <c r="X26">
        <v>1</v>
      </c>
      <c r="Y26">
        <v>0</v>
      </c>
      <c r="Z26">
        <v>1.5</v>
      </c>
      <c r="AA26" s="15" t="s">
        <v>891</v>
      </c>
    </row>
    <row r="27" spans="1:27" ht="13.5" customHeight="1" x14ac:dyDescent="0.25">
      <c r="A27" s="34" t="str">
        <f t="shared" si="0"/>
        <v>F058</v>
      </c>
      <c r="B27" t="str">
        <f t="shared" si="1"/>
        <v>139</v>
      </c>
      <c r="C27" s="34" t="str">
        <f t="shared" si="2"/>
        <v>722</v>
      </c>
      <c r="D27" s="26">
        <f>IF(select!$H$16=1,Tabelle2[[#This Row],[Kreuz]],IF(select!$H$16=2,Tabelle2[[#This Row],[Linear]],0))</f>
        <v>1</v>
      </c>
      <c r="E2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7" s="26">
        <f>IF(Tabelle2[[#This Row],[37/32]]=1,1,IF(Tabelle2[[#This Row],[28/32]]=1,2,0))</f>
        <v>1</v>
      </c>
      <c r="G27" s="26">
        <f>IF(Tabelle2[[#This Row],[Kreuz/linear]]+Tabelle2[[#This Row],[Befestigung]]=2,1,0)</f>
        <v>0</v>
      </c>
      <c r="H27" s="26">
        <f>IF(Tabelle2[[#This Row],[Randbedingungen]]+IF(Tabelle2[[#This Row],[Höhe]]=select!$B$29,1,0)=2,1,0)</f>
        <v>0</v>
      </c>
      <c r="I27" s="26">
        <f>IF(Tabelle2[[#This Row],[Randbedingungen]]+IF(Tabelle2[[#This Row],[Höhe]]=select!$D$29,1,0)=2,1,0)</f>
        <v>0</v>
      </c>
      <c r="J27" s="26">
        <f>IF(Tabelle2[[#This Row],[Randbedingungen]]+IF(Tabelle2[[#This Row],[Höhe]]=select!$F$29,1,0)=2,1,0)</f>
        <v>0</v>
      </c>
      <c r="K27" s="26">
        <f>IF(Tabelle2[[#This Row],[Randbedingungen]]+IF(Tabelle2[[#This Row],[Höhe]]=select!$H$29,1,0)=2,1,0)</f>
        <v>0</v>
      </c>
      <c r="L2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7" s="43">
        <f ca="1">IF(Tabelle2[[#This Row],[Kröpfung 3]]+Tabelle2[[#This Row],[Kröpfung 0]]+Tabelle2[[#This Row],[Kröpfung 9,5]]+Tabelle2[[#This Row],[Kröpfung 19]]+Tabelle2[[#This Row],[auswahl K]]=2,1,0)</f>
        <v>0</v>
      </c>
      <c r="N27" s="36" t="str">
        <f ca="1">Sprache!$A$46</f>
        <v>ECO Cross mounting plate TIOMOS</v>
      </c>
      <c r="O27" t="s">
        <v>789</v>
      </c>
      <c r="P27" t="str">
        <f ca="1">Sprache!$A$49</f>
        <v>TIOMOS mounting plates</v>
      </c>
      <c r="Q27" s="23">
        <v>1</v>
      </c>
      <c r="R27" s="23">
        <v>0</v>
      </c>
      <c r="S27" s="2">
        <v>0</v>
      </c>
      <c r="T27" s="2">
        <v>1</v>
      </c>
      <c r="U27" s="2">
        <v>0</v>
      </c>
      <c r="V27" s="2">
        <v>0</v>
      </c>
      <c r="W27" s="2">
        <v>0</v>
      </c>
      <c r="X27">
        <v>1</v>
      </c>
      <c r="Y27">
        <v>0</v>
      </c>
      <c r="Z27">
        <v>2</v>
      </c>
      <c r="AA27" s="15" t="s">
        <v>788</v>
      </c>
    </row>
    <row r="28" spans="1:27" ht="13.5" customHeight="1" x14ac:dyDescent="0.25">
      <c r="A28" s="34" t="str">
        <f t="shared" si="0"/>
        <v>F058</v>
      </c>
      <c r="B28" t="str">
        <f t="shared" si="1"/>
        <v>139</v>
      </c>
      <c r="C28" s="34" t="str">
        <f t="shared" si="2"/>
        <v>727</v>
      </c>
      <c r="D28" s="26">
        <f>IF(select!$H$16=1,Tabelle2[[#This Row],[Kreuz]],IF(select!$H$16=2,Tabelle2[[#This Row],[Linear]],0))</f>
        <v>1</v>
      </c>
      <c r="E2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8" s="26">
        <f>IF(Tabelle2[[#This Row],[37/32]]=1,1,IF(Tabelle2[[#This Row],[28/32]]=1,2,0))</f>
        <v>1</v>
      </c>
      <c r="G28" s="26">
        <f>IF(Tabelle2[[#This Row],[Kreuz/linear]]+Tabelle2[[#This Row],[Befestigung]]=2,1,0)</f>
        <v>0</v>
      </c>
      <c r="H28" s="26">
        <f>IF(Tabelle2[[#This Row],[Randbedingungen]]+IF(Tabelle2[[#This Row],[Höhe]]=select!$B$29,1,0)=2,1,0)</f>
        <v>0</v>
      </c>
      <c r="I28" s="26">
        <f>IF(Tabelle2[[#This Row],[Randbedingungen]]+IF(Tabelle2[[#This Row],[Höhe]]=select!$D$29,1,0)=2,1,0)</f>
        <v>0</v>
      </c>
      <c r="J28" s="26">
        <f>IF(Tabelle2[[#This Row],[Randbedingungen]]+IF(Tabelle2[[#This Row],[Höhe]]=select!$F$29,1,0)=2,1,0)</f>
        <v>0</v>
      </c>
      <c r="K28" s="26">
        <f>IF(Tabelle2[[#This Row],[Randbedingungen]]+IF(Tabelle2[[#This Row],[Höhe]]=select!$H$29,1,0)=2,1,0)</f>
        <v>0</v>
      </c>
      <c r="L2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8" s="43">
        <f ca="1">IF(Tabelle2[[#This Row],[Kröpfung 3]]+Tabelle2[[#This Row],[Kröpfung 0]]+Tabelle2[[#This Row],[Kröpfung 9,5]]+Tabelle2[[#This Row],[Kröpfung 19]]+Tabelle2[[#This Row],[auswahl K]]=2,1,0)</f>
        <v>0</v>
      </c>
      <c r="N28" s="36" t="str">
        <f ca="1">Sprache!$A$46</f>
        <v>ECO Cross mounting plate TIOMOS</v>
      </c>
      <c r="O28" t="s">
        <v>799</v>
      </c>
      <c r="P28" t="str">
        <f ca="1">Sprache!$A$49</f>
        <v>TIOMOS mounting plates</v>
      </c>
      <c r="Q28" s="23">
        <v>1</v>
      </c>
      <c r="R28" s="23">
        <v>0</v>
      </c>
      <c r="S28" s="2">
        <v>1</v>
      </c>
      <c r="T28" s="2">
        <v>0</v>
      </c>
      <c r="U28" s="2">
        <v>0</v>
      </c>
      <c r="V28" s="2">
        <v>0</v>
      </c>
      <c r="W28" s="2">
        <v>0</v>
      </c>
      <c r="X28">
        <v>1</v>
      </c>
      <c r="Y28">
        <v>0</v>
      </c>
      <c r="Z28">
        <v>2</v>
      </c>
      <c r="AA28" s="15" t="s">
        <v>798</v>
      </c>
    </row>
    <row r="29" spans="1:27" ht="13.5" customHeight="1" x14ac:dyDescent="0.25">
      <c r="A29" s="34" t="str">
        <f t="shared" si="0"/>
        <v>F058</v>
      </c>
      <c r="B29" t="str">
        <f t="shared" si="1"/>
        <v>139</v>
      </c>
      <c r="C29" s="34" t="str">
        <f t="shared" si="2"/>
        <v>737</v>
      </c>
      <c r="D29" s="26">
        <f>IF(select!$H$16=1,Tabelle2[[#This Row],[Kreuz]],IF(select!$H$16=2,Tabelle2[[#This Row],[Linear]],0))</f>
        <v>1</v>
      </c>
      <c r="E2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29" s="26">
        <f>IF(Tabelle2[[#This Row],[37/32]]=1,1,IF(Tabelle2[[#This Row],[28/32]]=1,2,0))</f>
        <v>1</v>
      </c>
      <c r="G29" s="26">
        <f>IF(Tabelle2[[#This Row],[Kreuz/linear]]+Tabelle2[[#This Row],[Befestigung]]=2,1,0)</f>
        <v>0</v>
      </c>
      <c r="H29" s="26">
        <f>IF(Tabelle2[[#This Row],[Randbedingungen]]+IF(Tabelle2[[#This Row],[Höhe]]=select!$B$29,1,0)=2,1,0)</f>
        <v>0</v>
      </c>
      <c r="I29" s="26">
        <f>IF(Tabelle2[[#This Row],[Randbedingungen]]+IF(Tabelle2[[#This Row],[Höhe]]=select!$D$29,1,0)=2,1,0)</f>
        <v>0</v>
      </c>
      <c r="J29" s="26">
        <f>IF(Tabelle2[[#This Row],[Randbedingungen]]+IF(Tabelle2[[#This Row],[Höhe]]=select!$F$29,1,0)=2,1,0)</f>
        <v>0</v>
      </c>
      <c r="K29" s="26">
        <f>IF(Tabelle2[[#This Row],[Randbedingungen]]+IF(Tabelle2[[#This Row],[Höhe]]=select!$H$29,1,0)=2,1,0)</f>
        <v>0</v>
      </c>
      <c r="L2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29" s="43">
        <f ca="1">IF(Tabelle2[[#This Row],[Kröpfung 3]]+Tabelle2[[#This Row],[Kröpfung 0]]+Tabelle2[[#This Row],[Kröpfung 9,5]]+Tabelle2[[#This Row],[Kröpfung 19]]+Tabelle2[[#This Row],[auswahl K]]=2,1,0)</f>
        <v>0</v>
      </c>
      <c r="N29" s="36" t="str">
        <f ca="1">Sprache!$A$46</f>
        <v>ECO Cross mounting plate TIOMOS</v>
      </c>
      <c r="O29" t="s">
        <v>809</v>
      </c>
      <c r="P29" t="str">
        <f ca="1">Sprache!$A$49</f>
        <v>TIOMOS mounting plates</v>
      </c>
      <c r="Q29" s="23">
        <v>1</v>
      </c>
      <c r="R29" s="23">
        <v>0</v>
      </c>
      <c r="S29" s="2">
        <v>0</v>
      </c>
      <c r="T29" s="2">
        <v>0</v>
      </c>
      <c r="U29" s="2">
        <v>0</v>
      </c>
      <c r="V29" s="2">
        <v>1</v>
      </c>
      <c r="W29" s="2">
        <v>0</v>
      </c>
      <c r="X29">
        <v>1</v>
      </c>
      <c r="Y29">
        <v>0</v>
      </c>
      <c r="Z29">
        <v>2</v>
      </c>
      <c r="AA29" s="15" t="s">
        <v>808</v>
      </c>
    </row>
    <row r="30" spans="1:27" ht="13.5" customHeight="1" x14ac:dyDescent="0.25">
      <c r="A30" s="34" t="str">
        <f t="shared" si="0"/>
        <v>F058</v>
      </c>
      <c r="B30" t="str">
        <f t="shared" si="1"/>
        <v>139</v>
      </c>
      <c r="C30" s="34" t="str">
        <f t="shared" si="2"/>
        <v>747</v>
      </c>
      <c r="D30" s="26">
        <f>IF(select!$H$16=1,Tabelle2[[#This Row],[Kreuz]],IF(select!$H$16=2,Tabelle2[[#This Row],[Linear]],0))</f>
        <v>1</v>
      </c>
      <c r="E3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0" s="26">
        <f>IF(Tabelle2[[#This Row],[37/32]]=1,1,IF(Tabelle2[[#This Row],[28/32]]=1,2,0))</f>
        <v>1</v>
      </c>
      <c r="G30" s="26">
        <f>IF(Tabelle2[[#This Row],[Kreuz/linear]]+Tabelle2[[#This Row],[Befestigung]]=2,1,0)</f>
        <v>0</v>
      </c>
      <c r="H30" s="26">
        <f>IF(Tabelle2[[#This Row],[Randbedingungen]]+IF(Tabelle2[[#This Row],[Höhe]]=select!$B$29,1,0)=2,1,0)</f>
        <v>0</v>
      </c>
      <c r="I30" s="26">
        <f>IF(Tabelle2[[#This Row],[Randbedingungen]]+IF(Tabelle2[[#This Row],[Höhe]]=select!$D$29,1,0)=2,1,0)</f>
        <v>0</v>
      </c>
      <c r="J30" s="26">
        <f>IF(Tabelle2[[#This Row],[Randbedingungen]]+IF(Tabelle2[[#This Row],[Höhe]]=select!$F$29,1,0)=2,1,0)</f>
        <v>0</v>
      </c>
      <c r="K30" s="26">
        <f>IF(Tabelle2[[#This Row],[Randbedingungen]]+IF(Tabelle2[[#This Row],[Höhe]]=select!$H$29,1,0)=2,1,0)</f>
        <v>0</v>
      </c>
      <c r="L3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0" s="43">
        <f ca="1">IF(Tabelle2[[#This Row],[Kröpfung 3]]+Tabelle2[[#This Row],[Kröpfung 0]]+Tabelle2[[#This Row],[Kröpfung 9,5]]+Tabelle2[[#This Row],[Kröpfung 19]]+Tabelle2[[#This Row],[auswahl K]]=2,1,0)</f>
        <v>0</v>
      </c>
      <c r="N30" s="36" t="str">
        <f ca="1">Sprache!$A$45</f>
        <v>1D Cross mounting plate TIOMOS</v>
      </c>
      <c r="O30" t="s">
        <v>789</v>
      </c>
      <c r="P30" t="str">
        <f ca="1">Sprache!$A$49</f>
        <v>TIOMOS mounting plates</v>
      </c>
      <c r="Q30" s="23">
        <v>1</v>
      </c>
      <c r="R30" s="23">
        <v>0</v>
      </c>
      <c r="S30" s="2">
        <v>0</v>
      </c>
      <c r="T30" s="2">
        <v>1</v>
      </c>
      <c r="U30" s="2">
        <v>0</v>
      </c>
      <c r="V30" s="2">
        <v>0</v>
      </c>
      <c r="W30" s="2">
        <v>0</v>
      </c>
      <c r="X30">
        <v>1</v>
      </c>
      <c r="Y30">
        <v>0</v>
      </c>
      <c r="Z30">
        <v>2</v>
      </c>
      <c r="AA30" s="15" t="s">
        <v>816</v>
      </c>
    </row>
    <row r="31" spans="1:27" ht="13.5" customHeight="1" x14ac:dyDescent="0.25">
      <c r="A31" s="34" t="str">
        <f t="shared" si="0"/>
        <v>F058</v>
      </c>
      <c r="B31" t="str">
        <f t="shared" si="1"/>
        <v>139</v>
      </c>
      <c r="C31" s="34" t="str">
        <f t="shared" si="2"/>
        <v>752</v>
      </c>
      <c r="D31" s="26">
        <f>IF(select!$H$16=1,Tabelle2[[#This Row],[Kreuz]],IF(select!$H$16=2,Tabelle2[[#This Row],[Linear]],0))</f>
        <v>1</v>
      </c>
      <c r="E3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1" s="26">
        <f>IF(Tabelle2[[#This Row],[37/32]]=1,1,IF(Tabelle2[[#This Row],[28/32]]=1,2,0))</f>
        <v>1</v>
      </c>
      <c r="G31" s="26">
        <f>IF(Tabelle2[[#This Row],[Kreuz/linear]]+Tabelle2[[#This Row],[Befestigung]]=2,1,0)</f>
        <v>0</v>
      </c>
      <c r="H31" s="26">
        <f>IF(Tabelle2[[#This Row],[Randbedingungen]]+IF(Tabelle2[[#This Row],[Höhe]]=select!$B$29,1,0)=2,1,0)</f>
        <v>0</v>
      </c>
      <c r="I31" s="26">
        <f>IF(Tabelle2[[#This Row],[Randbedingungen]]+IF(Tabelle2[[#This Row],[Höhe]]=select!$D$29,1,0)=2,1,0)</f>
        <v>0</v>
      </c>
      <c r="J31" s="26">
        <f>IF(Tabelle2[[#This Row],[Randbedingungen]]+IF(Tabelle2[[#This Row],[Höhe]]=select!$F$29,1,0)=2,1,0)</f>
        <v>0</v>
      </c>
      <c r="K31" s="26">
        <f>IF(Tabelle2[[#This Row],[Randbedingungen]]+IF(Tabelle2[[#This Row],[Höhe]]=select!$H$29,1,0)=2,1,0)</f>
        <v>0</v>
      </c>
      <c r="L3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1" s="43">
        <f ca="1">IF(Tabelle2[[#This Row],[Kröpfung 3]]+Tabelle2[[#This Row],[Kröpfung 0]]+Tabelle2[[#This Row],[Kröpfung 9,5]]+Tabelle2[[#This Row],[Kröpfung 19]]+Tabelle2[[#This Row],[auswahl K]]=2,1,0)</f>
        <v>0</v>
      </c>
      <c r="N31" s="36" t="str">
        <f ca="1">Sprache!$A$45</f>
        <v>1D Cross mounting plate TIOMOS</v>
      </c>
      <c r="O31" t="s">
        <v>799</v>
      </c>
      <c r="P31" t="str">
        <f ca="1">Sprache!$A$49</f>
        <v>TIOMOS mounting plates</v>
      </c>
      <c r="Q31" s="23">
        <v>1</v>
      </c>
      <c r="R31" s="23">
        <v>0</v>
      </c>
      <c r="S31" s="2">
        <v>1</v>
      </c>
      <c r="T31" s="2">
        <v>0</v>
      </c>
      <c r="U31" s="2">
        <v>0</v>
      </c>
      <c r="V31" s="2">
        <v>0</v>
      </c>
      <c r="W31" s="2">
        <v>0</v>
      </c>
      <c r="X31">
        <v>1</v>
      </c>
      <c r="Y31">
        <v>0</v>
      </c>
      <c r="Z31">
        <v>2</v>
      </c>
      <c r="AA31" s="15" t="s">
        <v>54</v>
      </c>
    </row>
    <row r="32" spans="1:27" ht="13.5" customHeight="1" x14ac:dyDescent="0.25">
      <c r="A32" s="34" t="str">
        <f t="shared" si="0"/>
        <v>F058</v>
      </c>
      <c r="B32" t="str">
        <f t="shared" si="1"/>
        <v>139</v>
      </c>
      <c r="C32" s="34" t="str">
        <f t="shared" si="2"/>
        <v>757</v>
      </c>
      <c r="D32" s="26">
        <f>IF(select!$H$16=1,Tabelle2[[#This Row],[Kreuz]],IF(select!$H$16=2,Tabelle2[[#This Row],[Linear]],0))</f>
        <v>1</v>
      </c>
      <c r="E3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1</v>
      </c>
      <c r="F32" s="26">
        <f>IF(Tabelle2[[#This Row],[37/32]]=1,1,IF(Tabelle2[[#This Row],[28/32]]=1,2,0))</f>
        <v>1</v>
      </c>
      <c r="G32" s="26">
        <f>IF(Tabelle2[[#This Row],[Kreuz/linear]]+Tabelle2[[#This Row],[Befestigung]]=2,1,0)</f>
        <v>1</v>
      </c>
      <c r="H32" s="26">
        <f>IF(Tabelle2[[#This Row],[Randbedingungen]]+IF(Tabelle2[[#This Row],[Höhe]]=select!$B$29,1,0)=2,1,0)</f>
        <v>0</v>
      </c>
      <c r="I32" s="26">
        <f>IF(Tabelle2[[#This Row],[Randbedingungen]]+IF(Tabelle2[[#This Row],[Höhe]]=select!$D$29,1,0)=2,1,0)</f>
        <v>0</v>
      </c>
      <c r="J32" s="26">
        <f>IF(Tabelle2[[#This Row],[Randbedingungen]]+IF(Tabelle2[[#This Row],[Höhe]]=select!$F$29,1,0)=2,1,0)</f>
        <v>0</v>
      </c>
      <c r="K32" s="26">
        <f>IF(Tabelle2[[#This Row],[Randbedingungen]]+IF(Tabelle2[[#This Row],[Höhe]]=select!$H$29,1,0)=2,1,0)</f>
        <v>0</v>
      </c>
      <c r="L3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2" s="43">
        <f ca="1">IF(Tabelle2[[#This Row],[Kröpfung 3]]+Tabelle2[[#This Row],[Kröpfung 0]]+Tabelle2[[#This Row],[Kröpfung 9,5]]+Tabelle2[[#This Row],[Kröpfung 19]]+Tabelle2[[#This Row],[auswahl K]]=2,1,0)</f>
        <v>0</v>
      </c>
      <c r="N32" s="36" t="str">
        <f ca="1">Sprache!$A$45</f>
        <v>1D Cross mounting plate TIOMOS</v>
      </c>
      <c r="O32" t="s">
        <v>822</v>
      </c>
      <c r="P32" t="str">
        <f ca="1">Sprache!$A$49</f>
        <v>TIOMOS mounting plates</v>
      </c>
      <c r="Q32" s="23">
        <v>1</v>
      </c>
      <c r="R32" s="23">
        <v>0</v>
      </c>
      <c r="S32" s="2">
        <v>0</v>
      </c>
      <c r="T32" s="2">
        <v>0</v>
      </c>
      <c r="U32" s="2">
        <v>1</v>
      </c>
      <c r="V32" s="2">
        <v>0</v>
      </c>
      <c r="W32" s="2">
        <v>0</v>
      </c>
      <c r="X32">
        <v>1</v>
      </c>
      <c r="Y32">
        <v>0</v>
      </c>
      <c r="Z32">
        <v>2</v>
      </c>
      <c r="AA32" s="15" t="s">
        <v>821</v>
      </c>
    </row>
    <row r="33" spans="1:27" ht="13.5" customHeight="1" x14ac:dyDescent="0.25">
      <c r="A33" s="34" t="str">
        <f t="shared" si="0"/>
        <v>F058</v>
      </c>
      <c r="B33" t="str">
        <f t="shared" si="1"/>
        <v>139</v>
      </c>
      <c r="C33" s="34" t="str">
        <f t="shared" si="2"/>
        <v>762</v>
      </c>
      <c r="D33" s="26">
        <f>IF(select!$H$16=1,Tabelle2[[#This Row],[Kreuz]],IF(select!$H$16=2,Tabelle2[[#This Row],[Linear]],0))</f>
        <v>1</v>
      </c>
      <c r="E3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3" s="26">
        <f>IF(Tabelle2[[#This Row],[37/32]]=1,1,IF(Tabelle2[[#This Row],[28/32]]=1,2,0))</f>
        <v>1</v>
      </c>
      <c r="G33" s="26">
        <f>IF(Tabelle2[[#This Row],[Kreuz/linear]]+Tabelle2[[#This Row],[Befestigung]]=2,1,0)</f>
        <v>0</v>
      </c>
      <c r="H33" s="26">
        <f>IF(Tabelle2[[#This Row],[Randbedingungen]]+IF(Tabelle2[[#This Row],[Höhe]]=select!$B$29,1,0)=2,1,0)</f>
        <v>0</v>
      </c>
      <c r="I33" s="26">
        <f>IF(Tabelle2[[#This Row],[Randbedingungen]]+IF(Tabelle2[[#This Row],[Höhe]]=select!$D$29,1,0)=2,1,0)</f>
        <v>0</v>
      </c>
      <c r="J33" s="26">
        <f>IF(Tabelle2[[#This Row],[Randbedingungen]]+IF(Tabelle2[[#This Row],[Höhe]]=select!$F$29,1,0)=2,1,0)</f>
        <v>0</v>
      </c>
      <c r="K33" s="26">
        <f>IF(Tabelle2[[#This Row],[Randbedingungen]]+IF(Tabelle2[[#This Row],[Höhe]]=select!$H$29,1,0)=2,1,0)</f>
        <v>0</v>
      </c>
      <c r="L3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3" s="43">
        <f ca="1">IF(Tabelle2[[#This Row],[Kröpfung 3]]+Tabelle2[[#This Row],[Kröpfung 0]]+Tabelle2[[#This Row],[Kröpfung 9,5]]+Tabelle2[[#This Row],[Kröpfung 19]]+Tabelle2[[#This Row],[auswahl K]]=2,1,0)</f>
        <v>0</v>
      </c>
      <c r="N33" s="36" t="str">
        <f ca="1">Sprache!$A$45</f>
        <v>1D Cross mounting plate TIOMOS</v>
      </c>
      <c r="O33" t="str">
        <f ca="1">"H 02, "&amp;Sprache!A50&amp;", ni /37"</f>
        <v>H 02, prem. Euro screws, ni /37</v>
      </c>
      <c r="P33" t="str">
        <f ca="1">Sprache!$A$49</f>
        <v>TIOMOS mounting plates</v>
      </c>
      <c r="Q33" s="23">
        <v>1</v>
      </c>
      <c r="R33" s="23">
        <v>0</v>
      </c>
      <c r="S33" s="2">
        <v>0</v>
      </c>
      <c r="T33" s="2">
        <v>0</v>
      </c>
      <c r="U33" s="2">
        <v>0</v>
      </c>
      <c r="V33" s="2">
        <v>1</v>
      </c>
      <c r="W33" s="2">
        <v>0</v>
      </c>
      <c r="X33">
        <v>1</v>
      </c>
      <c r="Y33">
        <v>0</v>
      </c>
      <c r="Z33">
        <v>2</v>
      </c>
      <c r="AA33" s="15" t="s">
        <v>828</v>
      </c>
    </row>
    <row r="34" spans="1:27" ht="13.5" customHeight="1" x14ac:dyDescent="0.25">
      <c r="A34" s="34" t="str">
        <f t="shared" ref="A34:A65" si="3">LEFT(AA34,4)</f>
        <v>F058</v>
      </c>
      <c r="B34" t="str">
        <f t="shared" ref="B34:B65" si="4">MID(AA34,5,3)</f>
        <v>139</v>
      </c>
      <c r="C34" s="34" t="str">
        <f t="shared" ref="C34:C65" si="5">RIGHT(AA34,3)</f>
        <v>787</v>
      </c>
      <c r="D34" s="26">
        <f>IF(select!$H$16=1,Tabelle2[[#This Row],[Kreuz]],IF(select!$H$16=2,Tabelle2[[#This Row],[Linear]],0))</f>
        <v>1</v>
      </c>
      <c r="E3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4" s="26">
        <f>IF(Tabelle2[[#This Row],[37/32]]=1,1,IF(Tabelle2[[#This Row],[28/32]]=1,2,0))</f>
        <v>2</v>
      </c>
      <c r="G34" s="26">
        <f>IF(Tabelle2[[#This Row],[Kreuz/linear]]+Tabelle2[[#This Row],[Befestigung]]=2,1,0)</f>
        <v>0</v>
      </c>
      <c r="H34" s="26">
        <f>IF(Tabelle2[[#This Row],[Randbedingungen]]+IF(Tabelle2[[#This Row],[Höhe]]=select!$B$29,1,0)=2,1,0)</f>
        <v>0</v>
      </c>
      <c r="I34" s="26">
        <f>IF(Tabelle2[[#This Row],[Randbedingungen]]+IF(Tabelle2[[#This Row],[Höhe]]=select!$D$29,1,0)=2,1,0)</f>
        <v>0</v>
      </c>
      <c r="J34" s="26">
        <f>IF(Tabelle2[[#This Row],[Randbedingungen]]+IF(Tabelle2[[#This Row],[Höhe]]=select!$F$29,1,0)=2,1,0)</f>
        <v>0</v>
      </c>
      <c r="K34" s="26">
        <f>IF(Tabelle2[[#This Row],[Randbedingungen]]+IF(Tabelle2[[#This Row],[Höhe]]=select!$H$29,1,0)=2,1,0)</f>
        <v>0</v>
      </c>
      <c r="L3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4" s="43">
        <f ca="1">IF(Tabelle2[[#This Row],[Kröpfung 3]]+Tabelle2[[#This Row],[Kröpfung 0]]+Tabelle2[[#This Row],[Kröpfung 9,5]]+Tabelle2[[#This Row],[Kröpfung 19]]+Tabelle2[[#This Row],[auswahl K]]=2,1,0)</f>
        <v>0</v>
      </c>
      <c r="N34" s="36" t="str">
        <f ca="1">Sprache!$A$46</f>
        <v>ECO Cross mounting plate TIOMOS</v>
      </c>
      <c r="O34" t="s">
        <v>836</v>
      </c>
      <c r="P34" t="str">
        <f ca="1">Sprache!$A$49</f>
        <v>TIOMOS mounting plates</v>
      </c>
      <c r="Q34" s="23">
        <v>1</v>
      </c>
      <c r="R34" s="23">
        <v>0</v>
      </c>
      <c r="S34" s="2">
        <v>0</v>
      </c>
      <c r="T34" s="2">
        <v>0</v>
      </c>
      <c r="U34" s="2">
        <v>0</v>
      </c>
      <c r="V34" s="2">
        <v>1</v>
      </c>
      <c r="W34" s="2">
        <v>0</v>
      </c>
      <c r="X34">
        <v>0</v>
      </c>
      <c r="Y34">
        <v>1</v>
      </c>
      <c r="Z34">
        <v>2</v>
      </c>
      <c r="AA34" s="15" t="s">
        <v>835</v>
      </c>
    </row>
    <row r="35" spans="1:27" ht="13.5" customHeight="1" x14ac:dyDescent="0.25">
      <c r="A35" s="34" t="str">
        <f t="shared" si="3"/>
        <v>F058</v>
      </c>
      <c r="B35" t="str">
        <f t="shared" si="4"/>
        <v>139</v>
      </c>
      <c r="C35" s="34" t="str">
        <f t="shared" si="5"/>
        <v>797</v>
      </c>
      <c r="D35" s="26">
        <f>IF(select!$H$16=1,Tabelle2[[#This Row],[Kreuz]],IF(select!$H$16=2,Tabelle2[[#This Row],[Linear]],0))</f>
        <v>1</v>
      </c>
      <c r="E3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5" s="26">
        <f>IF(Tabelle2[[#This Row],[37/32]]=1,1,IF(Tabelle2[[#This Row],[28/32]]=1,2,0))</f>
        <v>2</v>
      </c>
      <c r="G35" s="26">
        <f>IF(Tabelle2[[#This Row],[Kreuz/linear]]+Tabelle2[[#This Row],[Befestigung]]=2,1,0)</f>
        <v>0</v>
      </c>
      <c r="H35" s="26">
        <f>IF(Tabelle2[[#This Row],[Randbedingungen]]+IF(Tabelle2[[#This Row],[Höhe]]=select!$B$29,1,0)=2,1,0)</f>
        <v>0</v>
      </c>
      <c r="I35" s="26">
        <f>IF(Tabelle2[[#This Row],[Randbedingungen]]+IF(Tabelle2[[#This Row],[Höhe]]=select!$D$29,1,0)=2,1,0)</f>
        <v>0</v>
      </c>
      <c r="J35" s="26">
        <f>IF(Tabelle2[[#This Row],[Randbedingungen]]+IF(Tabelle2[[#This Row],[Höhe]]=select!$F$29,1,0)=2,1,0)</f>
        <v>0</v>
      </c>
      <c r="K35" s="26">
        <f>IF(Tabelle2[[#This Row],[Randbedingungen]]+IF(Tabelle2[[#This Row],[Höhe]]=select!$H$29,1,0)=2,1,0)</f>
        <v>0</v>
      </c>
      <c r="L3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5" s="43">
        <f ca="1">IF(Tabelle2[[#This Row],[Kröpfung 3]]+Tabelle2[[#This Row],[Kröpfung 0]]+Tabelle2[[#This Row],[Kröpfung 9,5]]+Tabelle2[[#This Row],[Kröpfung 19]]+Tabelle2[[#This Row],[auswahl K]]=2,1,0)</f>
        <v>0</v>
      </c>
      <c r="N35" s="36" t="str">
        <f ca="1">Sprache!$A$45</f>
        <v>1D Cross mounting plate TIOMOS</v>
      </c>
      <c r="O35" t="s">
        <v>842</v>
      </c>
      <c r="P35" t="str">
        <f ca="1">Sprache!$A$49</f>
        <v>TIOMOS mounting plates</v>
      </c>
      <c r="Q35" s="23">
        <v>1</v>
      </c>
      <c r="R35" s="23">
        <v>0</v>
      </c>
      <c r="S35" s="2">
        <v>0</v>
      </c>
      <c r="T35" s="2">
        <v>1</v>
      </c>
      <c r="U35" s="2">
        <v>0</v>
      </c>
      <c r="V35" s="2">
        <v>0</v>
      </c>
      <c r="W35" s="2">
        <v>0</v>
      </c>
      <c r="X35">
        <v>0</v>
      </c>
      <c r="Y35">
        <v>1</v>
      </c>
      <c r="Z35">
        <v>2</v>
      </c>
      <c r="AA35" s="15" t="s">
        <v>58</v>
      </c>
    </row>
    <row r="36" spans="1:27" ht="13.5" customHeight="1" x14ac:dyDescent="0.25">
      <c r="A36" s="34" t="str">
        <f t="shared" si="3"/>
        <v>F058</v>
      </c>
      <c r="B36" t="str">
        <f t="shared" si="4"/>
        <v>139</v>
      </c>
      <c r="C36" s="34" t="str">
        <f t="shared" si="5"/>
        <v>802</v>
      </c>
      <c r="D36" s="26">
        <f>IF(select!$H$16=1,Tabelle2[[#This Row],[Kreuz]],IF(select!$H$16=2,Tabelle2[[#This Row],[Linear]],0))</f>
        <v>1</v>
      </c>
      <c r="E3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6" s="26">
        <f>IF(Tabelle2[[#This Row],[37/32]]=1,1,IF(Tabelle2[[#This Row],[28/32]]=1,2,0))</f>
        <v>2</v>
      </c>
      <c r="G36" s="26">
        <f>IF(Tabelle2[[#This Row],[Kreuz/linear]]+Tabelle2[[#This Row],[Befestigung]]=2,1,0)</f>
        <v>0</v>
      </c>
      <c r="H36" s="26">
        <f>IF(Tabelle2[[#This Row],[Randbedingungen]]+IF(Tabelle2[[#This Row],[Höhe]]=select!$B$29,1,0)=2,1,0)</f>
        <v>0</v>
      </c>
      <c r="I36" s="26">
        <f>IF(Tabelle2[[#This Row],[Randbedingungen]]+IF(Tabelle2[[#This Row],[Höhe]]=select!$D$29,1,0)=2,1,0)</f>
        <v>0</v>
      </c>
      <c r="J36" s="26">
        <f>IF(Tabelle2[[#This Row],[Randbedingungen]]+IF(Tabelle2[[#This Row],[Höhe]]=select!$F$29,1,0)=2,1,0)</f>
        <v>0</v>
      </c>
      <c r="K36" s="26">
        <f>IF(Tabelle2[[#This Row],[Randbedingungen]]+IF(Tabelle2[[#This Row],[Höhe]]=select!$H$29,1,0)=2,1,0)</f>
        <v>0</v>
      </c>
      <c r="L3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6" s="43">
        <f ca="1">IF(Tabelle2[[#This Row],[Kröpfung 3]]+Tabelle2[[#This Row],[Kröpfung 0]]+Tabelle2[[#This Row],[Kröpfung 9,5]]+Tabelle2[[#This Row],[Kröpfung 19]]+Tabelle2[[#This Row],[auswahl K]]=2,1,0)</f>
        <v>0</v>
      </c>
      <c r="N36" s="36" t="str">
        <f ca="1">Sprache!$A$45</f>
        <v>1D Cross mounting plate TIOMOS</v>
      </c>
      <c r="O36" t="s">
        <v>848</v>
      </c>
      <c r="P36" t="str">
        <f ca="1">Sprache!$A$49</f>
        <v>TIOMOS mounting plates</v>
      </c>
      <c r="Q36" s="23">
        <v>1</v>
      </c>
      <c r="R36" s="23">
        <v>0</v>
      </c>
      <c r="S36" s="2">
        <v>1</v>
      </c>
      <c r="T36" s="2">
        <v>0</v>
      </c>
      <c r="U36" s="2">
        <v>0</v>
      </c>
      <c r="V36" s="2">
        <v>0</v>
      </c>
      <c r="W36" s="2">
        <v>0</v>
      </c>
      <c r="X36">
        <v>0</v>
      </c>
      <c r="Y36">
        <v>1</v>
      </c>
      <c r="Z36">
        <v>2</v>
      </c>
      <c r="AA36" s="15" t="s">
        <v>847</v>
      </c>
    </row>
    <row r="37" spans="1:27" ht="13.5" customHeight="1" x14ac:dyDescent="0.25">
      <c r="A37" s="34" t="str">
        <f t="shared" si="3"/>
        <v>F058</v>
      </c>
      <c r="B37" t="str">
        <f t="shared" si="4"/>
        <v>139</v>
      </c>
      <c r="C37" s="34" t="str">
        <f t="shared" si="5"/>
        <v>812</v>
      </c>
      <c r="D37" s="26">
        <f>IF(select!$H$16=1,Tabelle2[[#This Row],[Kreuz]],IF(select!$H$16=2,Tabelle2[[#This Row],[Linear]],0))</f>
        <v>1</v>
      </c>
      <c r="E3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7" s="26">
        <f>IF(Tabelle2[[#This Row],[37/32]]=1,1,IF(Tabelle2[[#This Row],[28/32]]=1,2,0))</f>
        <v>2</v>
      </c>
      <c r="G37" s="26">
        <f>IF(Tabelle2[[#This Row],[Kreuz/linear]]+Tabelle2[[#This Row],[Befestigung]]=2,1,0)</f>
        <v>0</v>
      </c>
      <c r="H37" s="26">
        <f>IF(Tabelle2[[#This Row],[Randbedingungen]]+IF(Tabelle2[[#This Row],[Höhe]]=select!$B$29,1,0)=2,1,0)</f>
        <v>0</v>
      </c>
      <c r="I37" s="26">
        <f>IF(Tabelle2[[#This Row],[Randbedingungen]]+IF(Tabelle2[[#This Row],[Höhe]]=select!$D$29,1,0)=2,1,0)</f>
        <v>0</v>
      </c>
      <c r="J37" s="26">
        <f>IF(Tabelle2[[#This Row],[Randbedingungen]]+IF(Tabelle2[[#This Row],[Höhe]]=select!$F$29,1,0)=2,1,0)</f>
        <v>0</v>
      </c>
      <c r="K37" s="26">
        <f>IF(Tabelle2[[#This Row],[Randbedingungen]]+IF(Tabelle2[[#This Row],[Höhe]]=select!$H$29,1,0)=2,1,0)</f>
        <v>0</v>
      </c>
      <c r="L3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7" s="43">
        <f ca="1">IF(Tabelle2[[#This Row],[Kröpfung 3]]+Tabelle2[[#This Row],[Kröpfung 0]]+Tabelle2[[#This Row],[Kröpfung 9,5]]+Tabelle2[[#This Row],[Kröpfung 19]]+Tabelle2[[#This Row],[auswahl K]]=2,1,0)</f>
        <v>0</v>
      </c>
      <c r="N37" s="36" t="str">
        <f ca="1">Sprache!$A$45</f>
        <v>1D Cross mounting plate TIOMOS</v>
      </c>
      <c r="O37" t="str">
        <f ca="1">"H 02, "&amp;Sprache!A50&amp;", ni /28"</f>
        <v>H 02, prem. Euro screws, ni /28</v>
      </c>
      <c r="P37" t="str">
        <f ca="1">Sprache!$A$49</f>
        <v>TIOMOS mounting plates</v>
      </c>
      <c r="Q37" s="23">
        <v>1</v>
      </c>
      <c r="R37" s="23">
        <v>0</v>
      </c>
      <c r="S37" s="2">
        <v>0</v>
      </c>
      <c r="T37" s="2">
        <v>0</v>
      </c>
      <c r="U37" s="2">
        <v>0</v>
      </c>
      <c r="V37" s="2">
        <v>1</v>
      </c>
      <c r="W37" s="2">
        <v>0</v>
      </c>
      <c r="X37">
        <v>0</v>
      </c>
      <c r="Y37">
        <v>1</v>
      </c>
      <c r="Z37">
        <v>2</v>
      </c>
      <c r="AA37" s="15" t="s">
        <v>854</v>
      </c>
    </row>
    <row r="38" spans="1:27" ht="13.5" customHeight="1" x14ac:dyDescent="0.25">
      <c r="A38" s="34" t="str">
        <f t="shared" si="3"/>
        <v>F058</v>
      </c>
      <c r="B38" t="str">
        <f t="shared" si="4"/>
        <v>139</v>
      </c>
      <c r="C38" s="34" t="str">
        <f t="shared" si="5"/>
        <v>859</v>
      </c>
      <c r="D38" s="26">
        <f>IF(select!$H$16=1,Tabelle2[[#This Row],[Kreuz]],IF(select!$H$16=2,Tabelle2[[#This Row],[Linear]],0))</f>
        <v>1</v>
      </c>
      <c r="E3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8" s="26">
        <f>IF(Tabelle2[[#This Row],[37/32]]=1,1,IF(Tabelle2[[#This Row],[28/32]]=1,2,0))</f>
        <v>1</v>
      </c>
      <c r="G38" s="26">
        <f>IF(Tabelle2[[#This Row],[Kreuz/linear]]+Tabelle2[[#This Row],[Befestigung]]=2,1,0)</f>
        <v>0</v>
      </c>
      <c r="H38" s="26">
        <f>IF(Tabelle2[[#This Row],[Randbedingungen]]+IF(Tabelle2[[#This Row],[Höhe]]=select!$B$29,1,0)=2,1,0)</f>
        <v>0</v>
      </c>
      <c r="I38" s="26">
        <f>IF(Tabelle2[[#This Row],[Randbedingungen]]+IF(Tabelle2[[#This Row],[Höhe]]=select!$D$29,1,0)=2,1,0)</f>
        <v>0</v>
      </c>
      <c r="J38" s="26">
        <f>IF(Tabelle2[[#This Row],[Randbedingungen]]+IF(Tabelle2[[#This Row],[Höhe]]=select!$F$29,1,0)=2,1,0)</f>
        <v>0</v>
      </c>
      <c r="K38" s="26">
        <f>IF(Tabelle2[[#This Row],[Randbedingungen]]+IF(Tabelle2[[#This Row],[Höhe]]=select!$H$29,1,0)=2,1,0)</f>
        <v>0</v>
      </c>
      <c r="L3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8" s="43">
        <f ca="1">IF(Tabelle2[[#This Row],[Kröpfung 3]]+Tabelle2[[#This Row],[Kröpfung 0]]+Tabelle2[[#This Row],[Kröpfung 9,5]]+Tabelle2[[#This Row],[Kröpfung 19]]+Tabelle2[[#This Row],[auswahl K]]=2,1,0)</f>
        <v>0</v>
      </c>
      <c r="N38" s="36" t="str">
        <f ca="1">Sprache!$A$46</f>
        <v>ECO Cross mounting plate TIOMOS</v>
      </c>
      <c r="O38" t="s">
        <v>862</v>
      </c>
      <c r="P38" t="str">
        <f ca="1">Sprache!$A$49</f>
        <v>TIOMOS mounting plates</v>
      </c>
      <c r="Q38" s="23">
        <v>1</v>
      </c>
      <c r="R38" s="23">
        <v>0</v>
      </c>
      <c r="S38" s="2">
        <v>0</v>
      </c>
      <c r="T38" s="2">
        <v>0</v>
      </c>
      <c r="U38" s="2">
        <v>0</v>
      </c>
      <c r="V38" s="2">
        <v>0</v>
      </c>
      <c r="W38" s="2">
        <v>1</v>
      </c>
      <c r="X38">
        <v>1</v>
      </c>
      <c r="Y38">
        <v>0</v>
      </c>
      <c r="Z38">
        <v>2</v>
      </c>
      <c r="AA38" s="15" t="s">
        <v>861</v>
      </c>
    </row>
    <row r="39" spans="1:27" ht="13.5" customHeight="1" x14ac:dyDescent="0.25">
      <c r="A39" s="34" t="str">
        <f t="shared" si="3"/>
        <v>F058</v>
      </c>
      <c r="B39" t="str">
        <f t="shared" si="4"/>
        <v>139</v>
      </c>
      <c r="C39" s="34" t="str">
        <f t="shared" si="5"/>
        <v>864</v>
      </c>
      <c r="D39" s="26">
        <f>IF(select!$H$16=1,Tabelle2[[#This Row],[Kreuz]],IF(select!$H$16=2,Tabelle2[[#This Row],[Linear]],0))</f>
        <v>1</v>
      </c>
      <c r="E3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39" s="26">
        <f>IF(Tabelle2[[#This Row],[37/32]]=1,1,IF(Tabelle2[[#This Row],[28/32]]=1,2,0))</f>
        <v>1</v>
      </c>
      <c r="G39" s="26">
        <f>IF(Tabelle2[[#This Row],[Kreuz/linear]]+Tabelle2[[#This Row],[Befestigung]]=2,1,0)</f>
        <v>0</v>
      </c>
      <c r="H39" s="26">
        <f>IF(Tabelle2[[#This Row],[Randbedingungen]]+IF(Tabelle2[[#This Row],[Höhe]]=select!$B$29,1,0)=2,1,0)</f>
        <v>0</v>
      </c>
      <c r="I39" s="26">
        <f>IF(Tabelle2[[#This Row],[Randbedingungen]]+IF(Tabelle2[[#This Row],[Höhe]]=select!$D$29,1,0)=2,1,0)</f>
        <v>0</v>
      </c>
      <c r="J39" s="26">
        <f>IF(Tabelle2[[#This Row],[Randbedingungen]]+IF(Tabelle2[[#This Row],[Höhe]]=select!$F$29,1,0)=2,1,0)</f>
        <v>0</v>
      </c>
      <c r="K39" s="26">
        <f>IF(Tabelle2[[#This Row],[Randbedingungen]]+IF(Tabelle2[[#This Row],[Höhe]]=select!$H$29,1,0)=2,1,0)</f>
        <v>0</v>
      </c>
      <c r="L3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39" s="43">
        <f ca="1">IF(Tabelle2[[#This Row],[Kröpfung 3]]+Tabelle2[[#This Row],[Kröpfung 0]]+Tabelle2[[#This Row],[Kröpfung 9,5]]+Tabelle2[[#This Row],[Kröpfung 19]]+Tabelle2[[#This Row],[auswahl K]]=2,1,0)</f>
        <v>0</v>
      </c>
      <c r="N39" s="36" t="str">
        <f ca="1">Sprache!$A$45</f>
        <v>1D Cross mounting plate TIOMOS</v>
      </c>
      <c r="O39" t="str">
        <f ca="1">"H 02, "&amp;Sprache!A51&amp;", ni /37"</f>
        <v>H 02, prem. short Euro screws, ni /37</v>
      </c>
      <c r="P39" t="str">
        <f ca="1">Sprache!$A$49</f>
        <v>TIOMOS mounting plates</v>
      </c>
      <c r="Q39" s="23">
        <v>1</v>
      </c>
      <c r="R39" s="23">
        <v>0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>
        <v>1</v>
      </c>
      <c r="Y39">
        <v>0</v>
      </c>
      <c r="Z39">
        <v>2</v>
      </c>
      <c r="AA39" s="15" t="s">
        <v>868</v>
      </c>
    </row>
    <row r="40" spans="1:27" ht="13.5" customHeight="1" x14ac:dyDescent="0.25">
      <c r="A40" s="34" t="str">
        <f t="shared" si="3"/>
        <v>F059</v>
      </c>
      <c r="B40" t="str">
        <f t="shared" si="4"/>
        <v>139</v>
      </c>
      <c r="C40" s="34" t="str">
        <f t="shared" si="5"/>
        <v>702</v>
      </c>
      <c r="D40" s="26">
        <f>IF(select!$H$16=1,Tabelle2[[#This Row],[Kreuz]],IF(select!$H$16=2,Tabelle2[[#This Row],[Linear]],0))</f>
        <v>0</v>
      </c>
      <c r="E4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0" s="26">
        <f>IF(Tabelle2[[#This Row],[37/32]]=1,1,IF(Tabelle2[[#This Row],[28/32]]=1,2,0))</f>
        <v>0</v>
      </c>
      <c r="G40" s="26">
        <f>IF(Tabelle2[[#This Row],[Kreuz/linear]]+Tabelle2[[#This Row],[Befestigung]]=2,1,0)</f>
        <v>0</v>
      </c>
      <c r="H40" s="26">
        <f>IF(Tabelle2[[#This Row],[Randbedingungen]]+IF(Tabelle2[[#This Row],[Höhe]]=select!$B$29,1,0)=2,1,0)</f>
        <v>0</v>
      </c>
      <c r="I40" s="26">
        <f>IF(Tabelle2[[#This Row],[Randbedingungen]]+IF(Tabelle2[[#This Row],[Höhe]]=select!$D$29,1,0)=2,1,0)</f>
        <v>0</v>
      </c>
      <c r="J40" s="26">
        <f>IF(Tabelle2[[#This Row],[Randbedingungen]]+IF(Tabelle2[[#This Row],[Höhe]]=select!$F$29,1,0)=2,1,0)</f>
        <v>0</v>
      </c>
      <c r="K40" s="26">
        <f>IF(Tabelle2[[#This Row],[Randbedingungen]]+IF(Tabelle2[[#This Row],[Höhe]]=select!$H$29,1,0)=2,1,0)</f>
        <v>0</v>
      </c>
      <c r="L4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0" s="43">
        <f ca="1">IF(Tabelle2[[#This Row],[Kröpfung 3]]+Tabelle2[[#This Row],[Kröpfung 0]]+Tabelle2[[#This Row],[Kröpfung 9,5]]+Tabelle2[[#This Row],[Kröpfung 19]]+Tabelle2[[#This Row],[auswahl K]]=2,1,0)</f>
        <v>0</v>
      </c>
      <c r="N40" s="36" t="str">
        <f ca="1">Sprache!$A$47</f>
        <v>1D linear mounting plate TIOMOS</v>
      </c>
      <c r="O40" t="s">
        <v>906</v>
      </c>
      <c r="P40" t="str">
        <f ca="1">Sprache!$A$49</f>
        <v>TIOMOS mounting plates</v>
      </c>
      <c r="Q40" s="23">
        <v>0</v>
      </c>
      <c r="R40" s="23">
        <v>1</v>
      </c>
      <c r="S40" s="2">
        <v>0</v>
      </c>
      <c r="T40" s="2">
        <v>1</v>
      </c>
      <c r="U40" s="2">
        <v>1</v>
      </c>
      <c r="V40" s="2">
        <v>0</v>
      </c>
      <c r="W40" s="2">
        <v>0</v>
      </c>
      <c r="Z40">
        <v>2</v>
      </c>
      <c r="AA40" s="15" t="s">
        <v>905</v>
      </c>
    </row>
    <row r="41" spans="1:27" ht="13.5" customHeight="1" x14ac:dyDescent="0.25">
      <c r="A41" s="34" t="str">
        <f t="shared" si="3"/>
        <v>F059</v>
      </c>
      <c r="B41" t="str">
        <f t="shared" si="4"/>
        <v>139</v>
      </c>
      <c r="C41" s="34" t="str">
        <f t="shared" si="5"/>
        <v>707</v>
      </c>
      <c r="D41" s="26">
        <f>IF(select!$H$16=1,Tabelle2[[#This Row],[Kreuz]],IF(select!$H$16=2,Tabelle2[[#This Row],[Linear]],0))</f>
        <v>0</v>
      </c>
      <c r="E4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1" s="26">
        <f>IF(Tabelle2[[#This Row],[37/32]]=1,1,IF(Tabelle2[[#This Row],[28/32]]=1,2,0))</f>
        <v>0</v>
      </c>
      <c r="G41" s="26">
        <f>IF(Tabelle2[[#This Row],[Kreuz/linear]]+Tabelle2[[#This Row],[Befestigung]]=2,1,0)</f>
        <v>0</v>
      </c>
      <c r="H41" s="26">
        <f>IF(Tabelle2[[#This Row],[Randbedingungen]]+IF(Tabelle2[[#This Row],[Höhe]]=select!$B$29,1,0)=2,1,0)</f>
        <v>0</v>
      </c>
      <c r="I41" s="26">
        <f>IF(Tabelle2[[#This Row],[Randbedingungen]]+IF(Tabelle2[[#This Row],[Höhe]]=select!$D$29,1,0)=2,1,0)</f>
        <v>0</v>
      </c>
      <c r="J41" s="26">
        <f>IF(Tabelle2[[#This Row],[Randbedingungen]]+IF(Tabelle2[[#This Row],[Höhe]]=select!$F$29,1,0)=2,1,0)</f>
        <v>0</v>
      </c>
      <c r="K41" s="26">
        <f>IF(Tabelle2[[#This Row],[Randbedingungen]]+IF(Tabelle2[[#This Row],[Höhe]]=select!$H$29,1,0)=2,1,0)</f>
        <v>0</v>
      </c>
      <c r="L4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1" s="43">
        <f ca="1">IF(Tabelle2[[#This Row],[Kröpfung 3]]+Tabelle2[[#This Row],[Kröpfung 0]]+Tabelle2[[#This Row],[Kröpfung 9,5]]+Tabelle2[[#This Row],[Kröpfung 19]]+Tabelle2[[#This Row],[auswahl K]]=2,1,0)</f>
        <v>0</v>
      </c>
      <c r="N41" s="36" t="str">
        <f ca="1">Sprache!$A$47</f>
        <v>1D linear mounting plate TIOMOS</v>
      </c>
      <c r="O41" t="s">
        <v>914</v>
      </c>
      <c r="P41" t="str">
        <f ca="1">Sprache!$A$49</f>
        <v>TIOMOS mounting plates</v>
      </c>
      <c r="Q41" s="23">
        <v>0</v>
      </c>
      <c r="R41" s="23">
        <v>1</v>
      </c>
      <c r="S41" s="2">
        <v>1</v>
      </c>
      <c r="T41" s="2">
        <v>0</v>
      </c>
      <c r="U41" s="2">
        <v>0</v>
      </c>
      <c r="V41" s="2">
        <v>0</v>
      </c>
      <c r="W41" s="2">
        <v>0</v>
      </c>
      <c r="Z41">
        <v>2</v>
      </c>
      <c r="AA41" s="15" t="s">
        <v>913</v>
      </c>
    </row>
    <row r="42" spans="1:27" ht="13.5" customHeight="1" x14ac:dyDescent="0.25">
      <c r="A42" s="34" t="str">
        <f t="shared" si="3"/>
        <v>F059</v>
      </c>
      <c r="B42" t="str">
        <f t="shared" si="4"/>
        <v>139</v>
      </c>
      <c r="C42" s="34" t="str">
        <f t="shared" si="5"/>
        <v>712</v>
      </c>
      <c r="D42" s="26">
        <f>IF(select!$H$16=1,Tabelle2[[#This Row],[Kreuz]],IF(select!$H$16=2,Tabelle2[[#This Row],[Linear]],0))</f>
        <v>0</v>
      </c>
      <c r="E4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2" s="26">
        <f>IF(Tabelle2[[#This Row],[37/32]]=1,1,IF(Tabelle2[[#This Row],[28/32]]=1,2,0))</f>
        <v>0</v>
      </c>
      <c r="G42" s="26">
        <f>IF(Tabelle2[[#This Row],[Kreuz/linear]]+Tabelle2[[#This Row],[Befestigung]]=2,1,0)</f>
        <v>0</v>
      </c>
      <c r="H42" s="26">
        <f>IF(Tabelle2[[#This Row],[Randbedingungen]]+IF(Tabelle2[[#This Row],[Höhe]]=select!$B$29,1,0)=2,1,0)</f>
        <v>0</v>
      </c>
      <c r="I42" s="26">
        <f>IF(Tabelle2[[#This Row],[Randbedingungen]]+IF(Tabelle2[[#This Row],[Höhe]]=select!$D$29,1,0)=2,1,0)</f>
        <v>0</v>
      </c>
      <c r="J42" s="26">
        <f>IF(Tabelle2[[#This Row],[Randbedingungen]]+IF(Tabelle2[[#This Row],[Höhe]]=select!$F$29,1,0)=2,1,0)</f>
        <v>0</v>
      </c>
      <c r="K42" s="26">
        <f>IF(Tabelle2[[#This Row],[Randbedingungen]]+IF(Tabelle2[[#This Row],[Höhe]]=select!$H$29,1,0)=2,1,0)</f>
        <v>0</v>
      </c>
      <c r="L4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2" s="43">
        <f ca="1">IF(Tabelle2[[#This Row],[Kröpfung 3]]+Tabelle2[[#This Row],[Kröpfung 0]]+Tabelle2[[#This Row],[Kröpfung 9,5]]+Tabelle2[[#This Row],[Kröpfung 19]]+Tabelle2[[#This Row],[auswahl K]]=2,1,0)</f>
        <v>0</v>
      </c>
      <c r="N42" s="36" t="str">
        <f ca="1">Sprache!$A$47</f>
        <v>1D linear mounting plate TIOMOS</v>
      </c>
      <c r="O42" t="str">
        <f ca="1">"H 02, "&amp;Sprache!A50&amp;", ni"</f>
        <v>H 02, prem. Euro screws, ni</v>
      </c>
      <c r="P42" t="str">
        <f ca="1">Sprache!$A$49</f>
        <v>TIOMOS mounting plates</v>
      </c>
      <c r="Q42" s="23">
        <v>0</v>
      </c>
      <c r="R42" s="23">
        <v>1</v>
      </c>
      <c r="S42" s="2">
        <v>0</v>
      </c>
      <c r="T42" s="2">
        <v>0</v>
      </c>
      <c r="U42" s="2">
        <v>0</v>
      </c>
      <c r="V42" s="2">
        <v>1</v>
      </c>
      <c r="W42" s="2">
        <v>0</v>
      </c>
      <c r="Z42">
        <v>2</v>
      </c>
      <c r="AA42" s="15" t="s">
        <v>920</v>
      </c>
    </row>
    <row r="43" spans="1:27" ht="13.5" customHeight="1" x14ac:dyDescent="0.25">
      <c r="A43" s="34" t="str">
        <f t="shared" si="3"/>
        <v>F059</v>
      </c>
      <c r="B43" t="str">
        <f t="shared" si="4"/>
        <v>139</v>
      </c>
      <c r="C43" s="34" t="str">
        <f t="shared" si="5"/>
        <v>911</v>
      </c>
      <c r="D43" s="26">
        <f>IF(select!$H$16=1,Tabelle2[[#This Row],[Kreuz]],IF(select!$H$16=2,Tabelle2[[#This Row],[Linear]],0))</f>
        <v>0</v>
      </c>
      <c r="E4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3" s="26">
        <f>IF(Tabelle2[[#This Row],[37/32]]=1,1,IF(Tabelle2[[#This Row],[28/32]]=1,2,0))</f>
        <v>0</v>
      </c>
      <c r="G43" s="26">
        <f>IF(Tabelle2[[#This Row],[Kreuz/linear]]+Tabelle2[[#This Row],[Befestigung]]=2,1,0)</f>
        <v>0</v>
      </c>
      <c r="H43" s="26">
        <f>IF(Tabelle2[[#This Row],[Randbedingungen]]+IF(Tabelle2[[#This Row],[Höhe]]=select!$B$29,1,0)=2,1,0)</f>
        <v>0</v>
      </c>
      <c r="I43" s="26">
        <f>IF(Tabelle2[[#This Row],[Randbedingungen]]+IF(Tabelle2[[#This Row],[Höhe]]=select!$D$29,1,0)=2,1,0)</f>
        <v>0</v>
      </c>
      <c r="J43" s="26">
        <f>IF(Tabelle2[[#This Row],[Randbedingungen]]+IF(Tabelle2[[#This Row],[Höhe]]=select!$F$29,1,0)=2,1,0)</f>
        <v>0</v>
      </c>
      <c r="K43" s="26">
        <f>IF(Tabelle2[[#This Row],[Randbedingungen]]+IF(Tabelle2[[#This Row],[Höhe]]=select!$H$29,1,0)=2,1,0)</f>
        <v>0</v>
      </c>
      <c r="L4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3" s="43">
        <f ca="1">IF(Tabelle2[[#This Row],[Kröpfung 3]]+Tabelle2[[#This Row],[Kröpfung 0]]+Tabelle2[[#This Row],[Kröpfung 9,5]]+Tabelle2[[#This Row],[Kröpfung 19]]+Tabelle2[[#This Row],[auswahl K]]=2,1,0)</f>
        <v>0</v>
      </c>
      <c r="N43" s="36" t="str">
        <f ca="1">Sprache!$A$47</f>
        <v>1D linear mounting plate TIOMOS</v>
      </c>
      <c r="O43" t="s">
        <v>914</v>
      </c>
      <c r="P43" t="str">
        <f ca="1">Sprache!$A$49</f>
        <v>TIOMOS mounting plates</v>
      </c>
      <c r="Q43" s="23">
        <v>0</v>
      </c>
      <c r="R43" s="23">
        <v>1</v>
      </c>
      <c r="S43" s="2">
        <v>1</v>
      </c>
      <c r="T43" s="2">
        <v>0</v>
      </c>
      <c r="U43" s="2">
        <v>0</v>
      </c>
      <c r="V43" s="2">
        <v>0</v>
      </c>
      <c r="W43" s="2">
        <v>0</v>
      </c>
      <c r="Z43">
        <v>2</v>
      </c>
      <c r="AA43" s="15" t="s">
        <v>929</v>
      </c>
    </row>
    <row r="44" spans="1:27" ht="13.5" customHeight="1" x14ac:dyDescent="0.25">
      <c r="A44" s="34" t="str">
        <f t="shared" si="3"/>
        <v>F058</v>
      </c>
      <c r="B44" t="str">
        <f t="shared" si="4"/>
        <v>139</v>
      </c>
      <c r="C44" s="34" t="str">
        <f t="shared" si="5"/>
        <v>723</v>
      </c>
      <c r="D44" s="26">
        <f>IF(select!$H$16=1,Tabelle2[[#This Row],[Kreuz]],IF(select!$H$16=2,Tabelle2[[#This Row],[Linear]],0))</f>
        <v>1</v>
      </c>
      <c r="E4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4" s="26">
        <f>IF(Tabelle2[[#This Row],[37/32]]=1,1,IF(Tabelle2[[#This Row],[28/32]]=1,2,0))</f>
        <v>1</v>
      </c>
      <c r="G44" s="26">
        <f>IF(Tabelle2[[#This Row],[Kreuz/linear]]+Tabelle2[[#This Row],[Befestigung]]=2,1,0)</f>
        <v>0</v>
      </c>
      <c r="H44" s="26">
        <f>IF(Tabelle2[[#This Row],[Randbedingungen]]+IF(Tabelle2[[#This Row],[Höhe]]=select!$B$29,1,0)=2,1,0)</f>
        <v>0</v>
      </c>
      <c r="I44" s="26">
        <f>IF(Tabelle2[[#This Row],[Randbedingungen]]+IF(Tabelle2[[#This Row],[Höhe]]=select!$D$29,1,0)=2,1,0)</f>
        <v>0</v>
      </c>
      <c r="J44" s="26">
        <f>IF(Tabelle2[[#This Row],[Randbedingungen]]+IF(Tabelle2[[#This Row],[Höhe]]=select!$F$29,1,0)=2,1,0)</f>
        <v>0</v>
      </c>
      <c r="K44" s="26">
        <f>IF(Tabelle2[[#This Row],[Randbedingungen]]+IF(Tabelle2[[#This Row],[Höhe]]=select!$H$29,1,0)=2,1,0)</f>
        <v>0</v>
      </c>
      <c r="L4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4" s="43">
        <f ca="1">IF(Tabelle2[[#This Row],[Kröpfung 3]]+Tabelle2[[#This Row],[Kröpfung 0]]+Tabelle2[[#This Row],[Kröpfung 9,5]]+Tabelle2[[#This Row],[Kröpfung 19]]+Tabelle2[[#This Row],[auswahl K]]=2,1,0)</f>
        <v>0</v>
      </c>
      <c r="N44" s="36" t="str">
        <f ca="1">Sprache!$A$46</f>
        <v>ECO Cross mounting plate TIOMOS</v>
      </c>
      <c r="O44" t="s">
        <v>791</v>
      </c>
      <c r="P44" t="str">
        <f ca="1">Sprache!$A$49</f>
        <v>TIOMOS mounting plates</v>
      </c>
      <c r="Q44" s="23">
        <v>1</v>
      </c>
      <c r="R44" s="23">
        <v>0</v>
      </c>
      <c r="S44" s="2">
        <v>0</v>
      </c>
      <c r="T44" s="2">
        <v>1</v>
      </c>
      <c r="U44" s="2">
        <v>0</v>
      </c>
      <c r="V44" s="2">
        <v>0</v>
      </c>
      <c r="W44" s="2">
        <v>0</v>
      </c>
      <c r="X44">
        <v>1</v>
      </c>
      <c r="Y44">
        <v>0</v>
      </c>
      <c r="Z44">
        <v>3</v>
      </c>
      <c r="AA44" s="15" t="s">
        <v>790</v>
      </c>
    </row>
    <row r="45" spans="1:27" ht="13.5" customHeight="1" x14ac:dyDescent="0.25">
      <c r="A45" s="34" t="str">
        <f t="shared" si="3"/>
        <v>F058</v>
      </c>
      <c r="B45" t="str">
        <f t="shared" si="4"/>
        <v>139</v>
      </c>
      <c r="C45" s="34" t="str">
        <f t="shared" si="5"/>
        <v>728</v>
      </c>
      <c r="D45" s="26">
        <f>IF(select!$H$16=1,Tabelle2[[#This Row],[Kreuz]],IF(select!$H$16=2,Tabelle2[[#This Row],[Linear]],0))</f>
        <v>1</v>
      </c>
      <c r="E4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5" s="26">
        <f>IF(Tabelle2[[#This Row],[37/32]]=1,1,IF(Tabelle2[[#This Row],[28/32]]=1,2,0))</f>
        <v>1</v>
      </c>
      <c r="G45" s="26">
        <f>IF(Tabelle2[[#This Row],[Kreuz/linear]]+Tabelle2[[#This Row],[Befestigung]]=2,1,0)</f>
        <v>0</v>
      </c>
      <c r="H45" s="26">
        <f>IF(Tabelle2[[#This Row],[Randbedingungen]]+IF(Tabelle2[[#This Row],[Höhe]]=select!$B$29,1,0)=2,1,0)</f>
        <v>0</v>
      </c>
      <c r="I45" s="26">
        <f>IF(Tabelle2[[#This Row],[Randbedingungen]]+IF(Tabelle2[[#This Row],[Höhe]]=select!$D$29,1,0)=2,1,0)</f>
        <v>0</v>
      </c>
      <c r="J45" s="26">
        <f>IF(Tabelle2[[#This Row],[Randbedingungen]]+IF(Tabelle2[[#This Row],[Höhe]]=select!$F$29,1,0)=2,1,0)</f>
        <v>0</v>
      </c>
      <c r="K45" s="26">
        <f>IF(Tabelle2[[#This Row],[Randbedingungen]]+IF(Tabelle2[[#This Row],[Höhe]]=select!$H$29,1,0)=2,1,0)</f>
        <v>0</v>
      </c>
      <c r="L4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5" s="43">
        <f ca="1">IF(Tabelle2[[#This Row],[Kröpfung 3]]+Tabelle2[[#This Row],[Kröpfung 0]]+Tabelle2[[#This Row],[Kröpfung 9,5]]+Tabelle2[[#This Row],[Kröpfung 19]]+Tabelle2[[#This Row],[auswahl K]]=2,1,0)</f>
        <v>0</v>
      </c>
      <c r="N45" s="36" t="str">
        <f ca="1">Sprache!$A$46</f>
        <v>ECO Cross mounting plate TIOMOS</v>
      </c>
      <c r="O45" t="s">
        <v>801</v>
      </c>
      <c r="P45" t="str">
        <f ca="1">Sprache!$A$49</f>
        <v>TIOMOS mounting plates</v>
      </c>
      <c r="Q45" s="23">
        <v>1</v>
      </c>
      <c r="R45" s="23">
        <v>0</v>
      </c>
      <c r="S45" s="2">
        <v>1</v>
      </c>
      <c r="T45" s="2">
        <v>0</v>
      </c>
      <c r="U45" s="2">
        <v>0</v>
      </c>
      <c r="V45" s="2">
        <v>0</v>
      </c>
      <c r="W45" s="2">
        <v>0</v>
      </c>
      <c r="X45">
        <v>1</v>
      </c>
      <c r="Y45">
        <v>0</v>
      </c>
      <c r="Z45">
        <v>3</v>
      </c>
      <c r="AA45" s="15" t="s">
        <v>800</v>
      </c>
    </row>
    <row r="46" spans="1:27" ht="13.5" customHeight="1" x14ac:dyDescent="0.25">
      <c r="A46" s="34" t="str">
        <f t="shared" si="3"/>
        <v>F058</v>
      </c>
      <c r="B46" t="str">
        <f t="shared" si="4"/>
        <v>139</v>
      </c>
      <c r="C46" s="34" t="str">
        <f t="shared" si="5"/>
        <v>738</v>
      </c>
      <c r="D46" s="26">
        <f>IF(select!$H$16=1,Tabelle2[[#This Row],[Kreuz]],IF(select!$H$16=2,Tabelle2[[#This Row],[Linear]],0))</f>
        <v>1</v>
      </c>
      <c r="E4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6" s="26">
        <f>IF(Tabelle2[[#This Row],[37/32]]=1,1,IF(Tabelle2[[#This Row],[28/32]]=1,2,0))</f>
        <v>1</v>
      </c>
      <c r="G46" s="26">
        <f>IF(Tabelle2[[#This Row],[Kreuz/linear]]+Tabelle2[[#This Row],[Befestigung]]=2,1,0)</f>
        <v>0</v>
      </c>
      <c r="H46" s="26">
        <f>IF(Tabelle2[[#This Row],[Randbedingungen]]+IF(Tabelle2[[#This Row],[Höhe]]=select!$B$29,1,0)=2,1,0)</f>
        <v>0</v>
      </c>
      <c r="I46" s="26">
        <f>IF(Tabelle2[[#This Row],[Randbedingungen]]+IF(Tabelle2[[#This Row],[Höhe]]=select!$D$29,1,0)=2,1,0)</f>
        <v>0</v>
      </c>
      <c r="J46" s="26">
        <f>IF(Tabelle2[[#This Row],[Randbedingungen]]+IF(Tabelle2[[#This Row],[Höhe]]=select!$F$29,1,0)=2,1,0)</f>
        <v>0</v>
      </c>
      <c r="K46" s="26">
        <f>IF(Tabelle2[[#This Row],[Randbedingungen]]+IF(Tabelle2[[#This Row],[Höhe]]=select!$H$29,1,0)=2,1,0)</f>
        <v>0</v>
      </c>
      <c r="L4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6" s="43">
        <f ca="1">IF(Tabelle2[[#This Row],[Kröpfung 3]]+Tabelle2[[#This Row],[Kröpfung 0]]+Tabelle2[[#This Row],[Kröpfung 9,5]]+Tabelle2[[#This Row],[Kröpfung 19]]+Tabelle2[[#This Row],[auswahl K]]=2,1,0)</f>
        <v>0</v>
      </c>
      <c r="N46" s="36" t="str">
        <f ca="1">Sprache!$A$46</f>
        <v>ECO Cross mounting plate TIOMOS</v>
      </c>
      <c r="O46" t="s">
        <v>811</v>
      </c>
      <c r="P46" t="str">
        <f ca="1">Sprache!$A$49</f>
        <v>TIOMOS mounting plates</v>
      </c>
      <c r="Q46" s="23">
        <v>1</v>
      </c>
      <c r="R46" s="23">
        <v>0</v>
      </c>
      <c r="S46" s="2">
        <v>0</v>
      </c>
      <c r="T46" s="2">
        <v>0</v>
      </c>
      <c r="U46" s="2">
        <v>0</v>
      </c>
      <c r="V46" s="2">
        <v>1</v>
      </c>
      <c r="W46" s="2">
        <v>0</v>
      </c>
      <c r="X46">
        <v>1</v>
      </c>
      <c r="Y46">
        <v>0</v>
      </c>
      <c r="Z46">
        <v>3</v>
      </c>
      <c r="AA46" s="15" t="s">
        <v>810</v>
      </c>
    </row>
    <row r="47" spans="1:27" ht="13.5" customHeight="1" x14ac:dyDescent="0.25">
      <c r="A47" s="34" t="str">
        <f t="shared" si="3"/>
        <v>F058</v>
      </c>
      <c r="B47" t="str">
        <f t="shared" si="4"/>
        <v>139</v>
      </c>
      <c r="C47" s="34" t="str">
        <f t="shared" si="5"/>
        <v>748</v>
      </c>
      <c r="D47" s="26">
        <f>IF(select!$H$16=1,Tabelle2[[#This Row],[Kreuz]],IF(select!$H$16=2,Tabelle2[[#This Row],[Linear]],0))</f>
        <v>1</v>
      </c>
      <c r="E4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7" s="26">
        <f>IF(Tabelle2[[#This Row],[37/32]]=1,1,IF(Tabelle2[[#This Row],[28/32]]=1,2,0))</f>
        <v>1</v>
      </c>
      <c r="G47" s="26">
        <f>IF(Tabelle2[[#This Row],[Kreuz/linear]]+Tabelle2[[#This Row],[Befestigung]]=2,1,0)</f>
        <v>0</v>
      </c>
      <c r="H47" s="26">
        <f>IF(Tabelle2[[#This Row],[Randbedingungen]]+IF(Tabelle2[[#This Row],[Höhe]]=select!$B$29,1,0)=2,1,0)</f>
        <v>0</v>
      </c>
      <c r="I47" s="26">
        <f>IF(Tabelle2[[#This Row],[Randbedingungen]]+IF(Tabelle2[[#This Row],[Höhe]]=select!$D$29,1,0)=2,1,0)</f>
        <v>0</v>
      </c>
      <c r="J47" s="26">
        <f>IF(Tabelle2[[#This Row],[Randbedingungen]]+IF(Tabelle2[[#This Row],[Höhe]]=select!$F$29,1,0)=2,1,0)</f>
        <v>0</v>
      </c>
      <c r="K47" s="26">
        <f>IF(Tabelle2[[#This Row],[Randbedingungen]]+IF(Tabelle2[[#This Row],[Höhe]]=select!$H$29,1,0)=2,1,0)</f>
        <v>0</v>
      </c>
      <c r="L4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7" s="43">
        <f ca="1">IF(Tabelle2[[#This Row],[Kröpfung 3]]+Tabelle2[[#This Row],[Kröpfung 0]]+Tabelle2[[#This Row],[Kröpfung 9,5]]+Tabelle2[[#This Row],[Kröpfung 19]]+Tabelle2[[#This Row],[auswahl K]]=2,1,0)</f>
        <v>0</v>
      </c>
      <c r="N47" s="36" t="str">
        <f ca="1">Sprache!$A$45</f>
        <v>1D Cross mounting plate TIOMOS</v>
      </c>
      <c r="O47" t="s">
        <v>791</v>
      </c>
      <c r="P47" t="str">
        <f ca="1">Sprache!$A$49</f>
        <v>TIOMOS mounting plates</v>
      </c>
      <c r="Q47" s="23">
        <v>1</v>
      </c>
      <c r="R47" s="23">
        <v>0</v>
      </c>
      <c r="S47" s="2">
        <v>0</v>
      </c>
      <c r="T47" s="2">
        <v>1</v>
      </c>
      <c r="U47" s="2">
        <v>0</v>
      </c>
      <c r="V47" s="2">
        <v>0</v>
      </c>
      <c r="W47" s="2">
        <v>0</v>
      </c>
      <c r="X47">
        <v>1</v>
      </c>
      <c r="Y47">
        <v>0</v>
      </c>
      <c r="Z47">
        <v>3</v>
      </c>
      <c r="AA47" s="15" t="s">
        <v>817</v>
      </c>
    </row>
    <row r="48" spans="1:27" ht="13.5" customHeight="1" x14ac:dyDescent="0.25">
      <c r="A48" s="34" t="str">
        <f t="shared" si="3"/>
        <v>F058</v>
      </c>
      <c r="B48" t="str">
        <f t="shared" si="4"/>
        <v>139</v>
      </c>
      <c r="C48" s="34" t="str">
        <f t="shared" si="5"/>
        <v>753</v>
      </c>
      <c r="D48" s="26">
        <f>IF(select!$H$16=1,Tabelle2[[#This Row],[Kreuz]],IF(select!$H$16=2,Tabelle2[[#This Row],[Linear]],0))</f>
        <v>1</v>
      </c>
      <c r="E4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48" s="26">
        <f>IF(Tabelle2[[#This Row],[37/32]]=1,1,IF(Tabelle2[[#This Row],[28/32]]=1,2,0))</f>
        <v>1</v>
      </c>
      <c r="G48" s="26">
        <f>IF(Tabelle2[[#This Row],[Kreuz/linear]]+Tabelle2[[#This Row],[Befestigung]]=2,1,0)</f>
        <v>0</v>
      </c>
      <c r="H48" s="26">
        <f>IF(Tabelle2[[#This Row],[Randbedingungen]]+IF(Tabelle2[[#This Row],[Höhe]]=select!$B$29,1,0)=2,1,0)</f>
        <v>0</v>
      </c>
      <c r="I48" s="26">
        <f>IF(Tabelle2[[#This Row],[Randbedingungen]]+IF(Tabelle2[[#This Row],[Höhe]]=select!$D$29,1,0)=2,1,0)</f>
        <v>0</v>
      </c>
      <c r="J48" s="26">
        <f>IF(Tabelle2[[#This Row],[Randbedingungen]]+IF(Tabelle2[[#This Row],[Höhe]]=select!$F$29,1,0)=2,1,0)</f>
        <v>0</v>
      </c>
      <c r="K48" s="26">
        <f>IF(Tabelle2[[#This Row],[Randbedingungen]]+IF(Tabelle2[[#This Row],[Höhe]]=select!$H$29,1,0)=2,1,0)</f>
        <v>0</v>
      </c>
      <c r="L4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8" s="43">
        <f ca="1">IF(Tabelle2[[#This Row],[Kröpfung 3]]+Tabelle2[[#This Row],[Kröpfung 0]]+Tabelle2[[#This Row],[Kröpfung 9,5]]+Tabelle2[[#This Row],[Kröpfung 19]]+Tabelle2[[#This Row],[auswahl K]]=2,1,0)</f>
        <v>0</v>
      </c>
      <c r="N48" s="36" t="str">
        <f ca="1">Sprache!$A$45</f>
        <v>1D Cross mounting plate TIOMOS</v>
      </c>
      <c r="O48" t="s">
        <v>801</v>
      </c>
      <c r="P48" t="str">
        <f ca="1">Sprache!$A$49</f>
        <v>TIOMOS mounting plates</v>
      </c>
      <c r="Q48" s="23">
        <v>1</v>
      </c>
      <c r="R48" s="23">
        <v>0</v>
      </c>
      <c r="S48" s="2">
        <v>1</v>
      </c>
      <c r="T48" s="2">
        <v>0</v>
      </c>
      <c r="U48" s="2">
        <v>0</v>
      </c>
      <c r="V48" s="2">
        <v>0</v>
      </c>
      <c r="W48" s="2">
        <v>0</v>
      </c>
      <c r="X48">
        <v>1</v>
      </c>
      <c r="Y48">
        <v>0</v>
      </c>
      <c r="Z48">
        <v>3</v>
      </c>
      <c r="AA48" s="15" t="s">
        <v>55</v>
      </c>
    </row>
    <row r="49" spans="1:27" ht="13.5" customHeight="1" x14ac:dyDescent="0.25">
      <c r="A49" s="34" t="str">
        <f t="shared" si="3"/>
        <v>F058</v>
      </c>
      <c r="B49" t="str">
        <f t="shared" si="4"/>
        <v>139</v>
      </c>
      <c r="C49" s="34" t="str">
        <f t="shared" si="5"/>
        <v>758</v>
      </c>
      <c r="D49" s="26">
        <f>IF(select!$H$16=1,Tabelle2[[#This Row],[Kreuz]],IF(select!$H$16=2,Tabelle2[[#This Row],[Linear]],0))</f>
        <v>1</v>
      </c>
      <c r="E4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1</v>
      </c>
      <c r="F49" s="26">
        <f>IF(Tabelle2[[#This Row],[37/32]]=1,1,IF(Tabelle2[[#This Row],[28/32]]=1,2,0))</f>
        <v>1</v>
      </c>
      <c r="G49" s="26">
        <f>IF(Tabelle2[[#This Row],[Kreuz/linear]]+Tabelle2[[#This Row],[Befestigung]]=2,1,0)</f>
        <v>1</v>
      </c>
      <c r="H49" s="26">
        <f>IF(Tabelle2[[#This Row],[Randbedingungen]]+IF(Tabelle2[[#This Row],[Höhe]]=select!$B$29,1,0)=2,1,0)</f>
        <v>0</v>
      </c>
      <c r="I49" s="26">
        <f>IF(Tabelle2[[#This Row],[Randbedingungen]]+IF(Tabelle2[[#This Row],[Höhe]]=select!$D$29,1,0)=2,1,0)</f>
        <v>0</v>
      </c>
      <c r="J49" s="26">
        <f>IF(Tabelle2[[#This Row],[Randbedingungen]]+IF(Tabelle2[[#This Row],[Höhe]]=select!$F$29,1,0)=2,1,0)</f>
        <v>0</v>
      </c>
      <c r="K49" s="26">
        <f>IF(Tabelle2[[#This Row],[Randbedingungen]]+IF(Tabelle2[[#This Row],[Höhe]]=select!$H$29,1,0)=2,1,0)</f>
        <v>0</v>
      </c>
      <c r="L4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49" s="43">
        <f ca="1">IF(Tabelle2[[#This Row],[Kröpfung 3]]+Tabelle2[[#This Row],[Kröpfung 0]]+Tabelle2[[#This Row],[Kröpfung 9,5]]+Tabelle2[[#This Row],[Kröpfung 19]]+Tabelle2[[#This Row],[auswahl K]]=2,1,0)</f>
        <v>0</v>
      </c>
      <c r="N49" s="36" t="str">
        <f ca="1">Sprache!$A$45</f>
        <v>1D Cross mounting plate TIOMOS</v>
      </c>
      <c r="O49" t="s">
        <v>824</v>
      </c>
      <c r="P49" t="str">
        <f ca="1">Sprache!$A$49</f>
        <v>TIOMOS mounting plates</v>
      </c>
      <c r="Q49" s="23">
        <v>1</v>
      </c>
      <c r="R49" s="23">
        <v>0</v>
      </c>
      <c r="S49" s="2">
        <v>0</v>
      </c>
      <c r="T49" s="2">
        <v>0</v>
      </c>
      <c r="U49" s="2">
        <v>1</v>
      </c>
      <c r="V49" s="2">
        <v>0</v>
      </c>
      <c r="W49" s="2">
        <v>0</v>
      </c>
      <c r="X49">
        <v>1</v>
      </c>
      <c r="Y49">
        <v>0</v>
      </c>
      <c r="Z49">
        <v>3</v>
      </c>
      <c r="AA49" s="15" t="s">
        <v>823</v>
      </c>
    </row>
    <row r="50" spans="1:27" ht="13.5" customHeight="1" x14ac:dyDescent="0.25">
      <c r="A50" s="34" t="str">
        <f t="shared" si="3"/>
        <v>F058</v>
      </c>
      <c r="B50" t="str">
        <f t="shared" si="4"/>
        <v>139</v>
      </c>
      <c r="C50" s="34" t="str">
        <f t="shared" si="5"/>
        <v>763</v>
      </c>
      <c r="D50" s="26">
        <f>IF(select!$H$16=1,Tabelle2[[#This Row],[Kreuz]],IF(select!$H$16=2,Tabelle2[[#This Row],[Linear]],0))</f>
        <v>1</v>
      </c>
      <c r="E5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0" s="26">
        <f>IF(Tabelle2[[#This Row],[37/32]]=1,1,IF(Tabelle2[[#This Row],[28/32]]=1,2,0))</f>
        <v>1</v>
      </c>
      <c r="G50" s="26">
        <f>IF(Tabelle2[[#This Row],[Kreuz/linear]]+Tabelle2[[#This Row],[Befestigung]]=2,1,0)</f>
        <v>0</v>
      </c>
      <c r="H50" s="26">
        <f>IF(Tabelle2[[#This Row],[Randbedingungen]]+IF(Tabelle2[[#This Row],[Höhe]]=select!$B$29,1,0)=2,1,0)</f>
        <v>0</v>
      </c>
      <c r="I50" s="26">
        <f>IF(Tabelle2[[#This Row],[Randbedingungen]]+IF(Tabelle2[[#This Row],[Höhe]]=select!$D$29,1,0)=2,1,0)</f>
        <v>0</v>
      </c>
      <c r="J50" s="26">
        <f>IF(Tabelle2[[#This Row],[Randbedingungen]]+IF(Tabelle2[[#This Row],[Höhe]]=select!$F$29,1,0)=2,1,0)</f>
        <v>0</v>
      </c>
      <c r="K50" s="26">
        <f>IF(Tabelle2[[#This Row],[Randbedingungen]]+IF(Tabelle2[[#This Row],[Höhe]]=select!$H$29,1,0)=2,1,0)</f>
        <v>0</v>
      </c>
      <c r="L5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0" s="43">
        <f ca="1">IF(Tabelle2[[#This Row],[Kröpfung 3]]+Tabelle2[[#This Row],[Kröpfung 0]]+Tabelle2[[#This Row],[Kröpfung 9,5]]+Tabelle2[[#This Row],[Kröpfung 19]]+Tabelle2[[#This Row],[auswahl K]]=2,1,0)</f>
        <v>0</v>
      </c>
      <c r="N50" s="36" t="str">
        <f ca="1">Sprache!$A$45</f>
        <v>1D Cross mounting plate TIOMOS</v>
      </c>
      <c r="O50" t="str">
        <f ca="1">"H 03, "&amp;Sprache!A50&amp;", ni /37"</f>
        <v>H 03, prem. Euro screws, ni /37</v>
      </c>
      <c r="P50" t="str">
        <f ca="1">Sprache!$A$49</f>
        <v>TIOMOS mounting plates</v>
      </c>
      <c r="Q50" s="23">
        <v>1</v>
      </c>
      <c r="R50" s="23">
        <v>0</v>
      </c>
      <c r="S50" s="2">
        <v>0</v>
      </c>
      <c r="T50" s="2">
        <v>0</v>
      </c>
      <c r="U50" s="2">
        <v>0</v>
      </c>
      <c r="V50" s="2">
        <v>1</v>
      </c>
      <c r="W50" s="2">
        <v>0</v>
      </c>
      <c r="X50">
        <v>1</v>
      </c>
      <c r="Y50">
        <v>0</v>
      </c>
      <c r="Z50">
        <v>3</v>
      </c>
      <c r="AA50" s="15" t="s">
        <v>829</v>
      </c>
    </row>
    <row r="51" spans="1:27" ht="13.5" customHeight="1" x14ac:dyDescent="0.25">
      <c r="A51" s="34" t="str">
        <f t="shared" si="3"/>
        <v>F058</v>
      </c>
      <c r="B51" t="str">
        <f t="shared" si="4"/>
        <v>139</v>
      </c>
      <c r="C51" s="34" t="str">
        <f t="shared" si="5"/>
        <v>788</v>
      </c>
      <c r="D51" s="26">
        <f>IF(select!$H$16=1,Tabelle2[[#This Row],[Kreuz]],IF(select!$H$16=2,Tabelle2[[#This Row],[Linear]],0))</f>
        <v>1</v>
      </c>
      <c r="E5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1" s="26">
        <f>IF(Tabelle2[[#This Row],[37/32]]=1,1,IF(Tabelle2[[#This Row],[28/32]]=1,2,0))</f>
        <v>2</v>
      </c>
      <c r="G51" s="26">
        <f>IF(Tabelle2[[#This Row],[Kreuz/linear]]+Tabelle2[[#This Row],[Befestigung]]=2,1,0)</f>
        <v>0</v>
      </c>
      <c r="H51" s="26">
        <f>IF(Tabelle2[[#This Row],[Randbedingungen]]+IF(Tabelle2[[#This Row],[Höhe]]=select!$B$29,1,0)=2,1,0)</f>
        <v>0</v>
      </c>
      <c r="I51" s="26">
        <f>IF(Tabelle2[[#This Row],[Randbedingungen]]+IF(Tabelle2[[#This Row],[Höhe]]=select!$D$29,1,0)=2,1,0)</f>
        <v>0</v>
      </c>
      <c r="J51" s="26">
        <f>IF(Tabelle2[[#This Row],[Randbedingungen]]+IF(Tabelle2[[#This Row],[Höhe]]=select!$F$29,1,0)=2,1,0)</f>
        <v>0</v>
      </c>
      <c r="K51" s="26">
        <f>IF(Tabelle2[[#This Row],[Randbedingungen]]+IF(Tabelle2[[#This Row],[Höhe]]=select!$H$29,1,0)=2,1,0)</f>
        <v>0</v>
      </c>
      <c r="L5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1" s="43">
        <f ca="1">IF(Tabelle2[[#This Row],[Kröpfung 3]]+Tabelle2[[#This Row],[Kröpfung 0]]+Tabelle2[[#This Row],[Kröpfung 9,5]]+Tabelle2[[#This Row],[Kröpfung 19]]+Tabelle2[[#This Row],[auswahl K]]=2,1,0)</f>
        <v>0</v>
      </c>
      <c r="N51" s="36" t="str">
        <f ca="1">Sprache!$A$46</f>
        <v>ECO Cross mounting plate TIOMOS</v>
      </c>
      <c r="O51" t="s">
        <v>838</v>
      </c>
      <c r="P51" t="str">
        <f ca="1">Sprache!$A$49</f>
        <v>TIOMOS mounting plates</v>
      </c>
      <c r="Q51" s="23">
        <v>1</v>
      </c>
      <c r="R51" s="23">
        <v>0</v>
      </c>
      <c r="S51" s="2">
        <v>0</v>
      </c>
      <c r="T51" s="2">
        <v>0</v>
      </c>
      <c r="U51" s="2">
        <v>0</v>
      </c>
      <c r="V51" s="2">
        <v>1</v>
      </c>
      <c r="W51" s="2">
        <v>0</v>
      </c>
      <c r="X51">
        <v>0</v>
      </c>
      <c r="Y51">
        <v>1</v>
      </c>
      <c r="Z51">
        <v>3</v>
      </c>
      <c r="AA51" s="15" t="s">
        <v>837</v>
      </c>
    </row>
    <row r="52" spans="1:27" ht="13.5" customHeight="1" x14ac:dyDescent="0.25">
      <c r="A52" s="34" t="str">
        <f t="shared" si="3"/>
        <v>F058</v>
      </c>
      <c r="B52" t="str">
        <f t="shared" si="4"/>
        <v>139</v>
      </c>
      <c r="C52" s="34" t="str">
        <f t="shared" si="5"/>
        <v>798</v>
      </c>
      <c r="D52" s="26">
        <f>IF(select!$H$16=1,Tabelle2[[#This Row],[Kreuz]],IF(select!$H$16=2,Tabelle2[[#This Row],[Linear]],0))</f>
        <v>1</v>
      </c>
      <c r="E5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2" s="26">
        <f>IF(Tabelle2[[#This Row],[37/32]]=1,1,IF(Tabelle2[[#This Row],[28/32]]=1,2,0))</f>
        <v>2</v>
      </c>
      <c r="G52" s="26">
        <f>IF(Tabelle2[[#This Row],[Kreuz/linear]]+Tabelle2[[#This Row],[Befestigung]]=2,1,0)</f>
        <v>0</v>
      </c>
      <c r="H52" s="26">
        <f>IF(Tabelle2[[#This Row],[Randbedingungen]]+IF(Tabelle2[[#This Row],[Höhe]]=select!$B$29,1,0)=2,1,0)</f>
        <v>0</v>
      </c>
      <c r="I52" s="26">
        <f>IF(Tabelle2[[#This Row],[Randbedingungen]]+IF(Tabelle2[[#This Row],[Höhe]]=select!$D$29,1,0)=2,1,0)</f>
        <v>0</v>
      </c>
      <c r="J52" s="26">
        <f>IF(Tabelle2[[#This Row],[Randbedingungen]]+IF(Tabelle2[[#This Row],[Höhe]]=select!$F$29,1,0)=2,1,0)</f>
        <v>0</v>
      </c>
      <c r="K52" s="26">
        <f>IF(Tabelle2[[#This Row],[Randbedingungen]]+IF(Tabelle2[[#This Row],[Höhe]]=select!$H$29,1,0)=2,1,0)</f>
        <v>0</v>
      </c>
      <c r="L5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2" s="43">
        <f ca="1">IF(Tabelle2[[#This Row],[Kröpfung 3]]+Tabelle2[[#This Row],[Kröpfung 0]]+Tabelle2[[#This Row],[Kröpfung 9,5]]+Tabelle2[[#This Row],[Kröpfung 19]]+Tabelle2[[#This Row],[auswahl K]]=2,1,0)</f>
        <v>0</v>
      </c>
      <c r="N52" s="36" t="str">
        <f ca="1">Sprache!$A$45</f>
        <v>1D Cross mounting plate TIOMOS</v>
      </c>
      <c r="O52" t="s">
        <v>843</v>
      </c>
      <c r="P52" t="str">
        <f ca="1">Sprache!$A$49</f>
        <v>TIOMOS mounting plates</v>
      </c>
      <c r="Q52" s="23">
        <v>1</v>
      </c>
      <c r="R52" s="23">
        <v>0</v>
      </c>
      <c r="S52" s="2">
        <v>0</v>
      </c>
      <c r="T52" s="2">
        <v>1</v>
      </c>
      <c r="U52" s="2">
        <v>0</v>
      </c>
      <c r="V52" s="2">
        <v>0</v>
      </c>
      <c r="W52" s="2">
        <v>0</v>
      </c>
      <c r="X52">
        <v>0</v>
      </c>
      <c r="Y52">
        <v>1</v>
      </c>
      <c r="Z52">
        <v>3</v>
      </c>
      <c r="AA52" s="15" t="s">
        <v>59</v>
      </c>
    </row>
    <row r="53" spans="1:27" ht="13.5" customHeight="1" x14ac:dyDescent="0.25">
      <c r="A53" s="34" t="str">
        <f t="shared" si="3"/>
        <v>F058</v>
      </c>
      <c r="B53" t="str">
        <f t="shared" si="4"/>
        <v>139</v>
      </c>
      <c r="C53" s="34" t="str">
        <f t="shared" si="5"/>
        <v>803</v>
      </c>
      <c r="D53" s="26">
        <f>IF(select!$H$16=1,Tabelle2[[#This Row],[Kreuz]],IF(select!$H$16=2,Tabelle2[[#This Row],[Linear]],0))</f>
        <v>1</v>
      </c>
      <c r="E5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3" s="26">
        <f>IF(Tabelle2[[#This Row],[37/32]]=1,1,IF(Tabelle2[[#This Row],[28/32]]=1,2,0))</f>
        <v>2</v>
      </c>
      <c r="G53" s="26">
        <f>IF(Tabelle2[[#This Row],[Kreuz/linear]]+Tabelle2[[#This Row],[Befestigung]]=2,1,0)</f>
        <v>0</v>
      </c>
      <c r="H53" s="26">
        <f>IF(Tabelle2[[#This Row],[Randbedingungen]]+IF(Tabelle2[[#This Row],[Höhe]]=select!$B$29,1,0)=2,1,0)</f>
        <v>0</v>
      </c>
      <c r="I53" s="26">
        <f>IF(Tabelle2[[#This Row],[Randbedingungen]]+IF(Tabelle2[[#This Row],[Höhe]]=select!$D$29,1,0)=2,1,0)</f>
        <v>0</v>
      </c>
      <c r="J53" s="26">
        <f>IF(Tabelle2[[#This Row],[Randbedingungen]]+IF(Tabelle2[[#This Row],[Höhe]]=select!$F$29,1,0)=2,1,0)</f>
        <v>0</v>
      </c>
      <c r="K53" s="26">
        <f>IF(Tabelle2[[#This Row],[Randbedingungen]]+IF(Tabelle2[[#This Row],[Höhe]]=select!$H$29,1,0)=2,1,0)</f>
        <v>0</v>
      </c>
      <c r="L5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3" s="43">
        <f ca="1">IF(Tabelle2[[#This Row],[Kröpfung 3]]+Tabelle2[[#This Row],[Kröpfung 0]]+Tabelle2[[#This Row],[Kröpfung 9,5]]+Tabelle2[[#This Row],[Kröpfung 19]]+Tabelle2[[#This Row],[auswahl K]]=2,1,0)</f>
        <v>0</v>
      </c>
      <c r="N53" s="36" t="str">
        <f ca="1">Sprache!$A$45</f>
        <v>1D Cross mounting plate TIOMOS</v>
      </c>
      <c r="O53" t="s">
        <v>850</v>
      </c>
      <c r="P53" t="str">
        <f ca="1">Sprache!$A$49</f>
        <v>TIOMOS mounting plates</v>
      </c>
      <c r="Q53" s="23">
        <v>1</v>
      </c>
      <c r="R53" s="23">
        <v>0</v>
      </c>
      <c r="S53" s="2">
        <v>1</v>
      </c>
      <c r="T53" s="2">
        <v>0</v>
      </c>
      <c r="U53" s="2">
        <v>0</v>
      </c>
      <c r="V53" s="2">
        <v>0</v>
      </c>
      <c r="W53" s="2">
        <v>0</v>
      </c>
      <c r="X53">
        <v>0</v>
      </c>
      <c r="Y53">
        <v>1</v>
      </c>
      <c r="Z53">
        <v>3</v>
      </c>
      <c r="AA53" s="15" t="s">
        <v>849</v>
      </c>
    </row>
    <row r="54" spans="1:27" ht="13.5" customHeight="1" x14ac:dyDescent="0.25">
      <c r="A54" s="34" t="str">
        <f t="shared" si="3"/>
        <v>F058</v>
      </c>
      <c r="B54" t="str">
        <f t="shared" si="4"/>
        <v>139</v>
      </c>
      <c r="C54" s="34" t="str">
        <f t="shared" si="5"/>
        <v>813</v>
      </c>
      <c r="D54" s="26">
        <f>IF(select!$H$16=1,Tabelle2[[#This Row],[Kreuz]],IF(select!$H$16=2,Tabelle2[[#This Row],[Linear]],0))</f>
        <v>1</v>
      </c>
      <c r="E5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4" s="26">
        <f>IF(Tabelle2[[#This Row],[37/32]]=1,1,IF(Tabelle2[[#This Row],[28/32]]=1,2,0))</f>
        <v>2</v>
      </c>
      <c r="G54" s="26">
        <f>IF(Tabelle2[[#This Row],[Kreuz/linear]]+Tabelle2[[#This Row],[Befestigung]]=2,1,0)</f>
        <v>0</v>
      </c>
      <c r="H54" s="26">
        <f>IF(Tabelle2[[#This Row],[Randbedingungen]]+IF(Tabelle2[[#This Row],[Höhe]]=select!$B$29,1,0)=2,1,0)</f>
        <v>0</v>
      </c>
      <c r="I54" s="26">
        <f>IF(Tabelle2[[#This Row],[Randbedingungen]]+IF(Tabelle2[[#This Row],[Höhe]]=select!$D$29,1,0)=2,1,0)</f>
        <v>0</v>
      </c>
      <c r="J54" s="26">
        <f>IF(Tabelle2[[#This Row],[Randbedingungen]]+IF(Tabelle2[[#This Row],[Höhe]]=select!$F$29,1,0)=2,1,0)</f>
        <v>0</v>
      </c>
      <c r="K54" s="26">
        <f>IF(Tabelle2[[#This Row],[Randbedingungen]]+IF(Tabelle2[[#This Row],[Höhe]]=select!$H$29,1,0)=2,1,0)</f>
        <v>0</v>
      </c>
      <c r="L5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4" s="43">
        <f ca="1">IF(Tabelle2[[#This Row],[Kröpfung 3]]+Tabelle2[[#This Row],[Kröpfung 0]]+Tabelle2[[#This Row],[Kröpfung 9,5]]+Tabelle2[[#This Row],[Kröpfung 19]]+Tabelle2[[#This Row],[auswahl K]]=2,1,0)</f>
        <v>0</v>
      </c>
      <c r="N54" s="36" t="str">
        <f ca="1">Sprache!$A$45</f>
        <v>1D Cross mounting plate TIOMOS</v>
      </c>
      <c r="O54" t="str">
        <f ca="1">"H 03, "&amp;Sprache!A50&amp;", ni /28"</f>
        <v>H 03, prem. Euro screws, ni /28</v>
      </c>
      <c r="P54" t="str">
        <f ca="1">Sprache!$A$49</f>
        <v>TIOMOS mounting plates</v>
      </c>
      <c r="Q54" s="23">
        <v>1</v>
      </c>
      <c r="R54" s="23">
        <v>0</v>
      </c>
      <c r="S54" s="2">
        <v>0</v>
      </c>
      <c r="T54" s="2">
        <v>0</v>
      </c>
      <c r="U54" s="2">
        <v>0</v>
      </c>
      <c r="V54" s="2">
        <v>1</v>
      </c>
      <c r="W54" s="2">
        <v>0</v>
      </c>
      <c r="X54">
        <v>0</v>
      </c>
      <c r="Y54">
        <v>1</v>
      </c>
      <c r="Z54">
        <v>3</v>
      </c>
      <c r="AA54" s="15" t="s">
        <v>855</v>
      </c>
    </row>
    <row r="55" spans="1:27" ht="13.5" customHeight="1" x14ac:dyDescent="0.25">
      <c r="A55" s="34" t="str">
        <f t="shared" si="3"/>
        <v>F058</v>
      </c>
      <c r="B55" t="str">
        <f t="shared" si="4"/>
        <v>139</v>
      </c>
      <c r="C55" s="34" t="str">
        <f t="shared" si="5"/>
        <v>860</v>
      </c>
      <c r="D55" s="26">
        <f>IF(select!$H$16=1,Tabelle2[[#This Row],[Kreuz]],IF(select!$H$16=2,Tabelle2[[#This Row],[Linear]],0))</f>
        <v>1</v>
      </c>
      <c r="E5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5" s="26">
        <f>IF(Tabelle2[[#This Row],[37/32]]=1,1,IF(Tabelle2[[#This Row],[28/32]]=1,2,0))</f>
        <v>1</v>
      </c>
      <c r="G55" s="26">
        <f>IF(Tabelle2[[#This Row],[Kreuz/linear]]+Tabelle2[[#This Row],[Befestigung]]=2,1,0)</f>
        <v>0</v>
      </c>
      <c r="H55" s="26">
        <f>IF(Tabelle2[[#This Row],[Randbedingungen]]+IF(Tabelle2[[#This Row],[Höhe]]=select!$B$29,1,0)=2,1,0)</f>
        <v>0</v>
      </c>
      <c r="I55" s="26">
        <f>IF(Tabelle2[[#This Row],[Randbedingungen]]+IF(Tabelle2[[#This Row],[Höhe]]=select!$D$29,1,0)=2,1,0)</f>
        <v>0</v>
      </c>
      <c r="J55" s="26">
        <f>IF(Tabelle2[[#This Row],[Randbedingungen]]+IF(Tabelle2[[#This Row],[Höhe]]=select!$F$29,1,0)=2,1,0)</f>
        <v>0</v>
      </c>
      <c r="K55" s="26">
        <f>IF(Tabelle2[[#This Row],[Randbedingungen]]+IF(Tabelle2[[#This Row],[Höhe]]=select!$H$29,1,0)=2,1,0)</f>
        <v>0</v>
      </c>
      <c r="L5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5" s="43">
        <f ca="1">IF(Tabelle2[[#This Row],[Kröpfung 3]]+Tabelle2[[#This Row],[Kröpfung 0]]+Tabelle2[[#This Row],[Kröpfung 9,5]]+Tabelle2[[#This Row],[Kröpfung 19]]+Tabelle2[[#This Row],[auswahl K]]=2,1,0)</f>
        <v>0</v>
      </c>
      <c r="N55" s="36" t="str">
        <f ca="1">Sprache!$A$46</f>
        <v>ECO Cross mounting plate TIOMOS</v>
      </c>
      <c r="O55" t="s">
        <v>864</v>
      </c>
      <c r="P55" t="str">
        <f ca="1">Sprache!$A$49</f>
        <v>TIOMOS mounting plates</v>
      </c>
      <c r="Q55" s="23">
        <v>1</v>
      </c>
      <c r="R55" s="23">
        <v>0</v>
      </c>
      <c r="S55" s="2">
        <v>0</v>
      </c>
      <c r="T55" s="2">
        <v>0</v>
      </c>
      <c r="U55" s="2">
        <v>0</v>
      </c>
      <c r="V55" s="2">
        <v>0</v>
      </c>
      <c r="W55" s="2">
        <v>1</v>
      </c>
      <c r="X55">
        <v>1</v>
      </c>
      <c r="Y55">
        <v>0</v>
      </c>
      <c r="Z55">
        <v>3</v>
      </c>
      <c r="AA55" s="15" t="s">
        <v>863</v>
      </c>
    </row>
    <row r="56" spans="1:27" ht="13.5" customHeight="1" x14ac:dyDescent="0.25">
      <c r="A56" s="34" t="str">
        <f t="shared" si="3"/>
        <v>F058</v>
      </c>
      <c r="B56" t="str">
        <f t="shared" si="4"/>
        <v>139</v>
      </c>
      <c r="C56" s="34" t="str">
        <f t="shared" si="5"/>
        <v>865</v>
      </c>
      <c r="D56" s="26">
        <f>IF(select!$H$16=1,Tabelle2[[#This Row],[Kreuz]],IF(select!$H$16=2,Tabelle2[[#This Row],[Linear]],0))</f>
        <v>1</v>
      </c>
      <c r="E5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6" s="26">
        <f>IF(Tabelle2[[#This Row],[37/32]]=1,1,IF(Tabelle2[[#This Row],[28/32]]=1,2,0))</f>
        <v>1</v>
      </c>
      <c r="G56" s="26">
        <f>IF(Tabelle2[[#This Row],[Kreuz/linear]]+Tabelle2[[#This Row],[Befestigung]]=2,1,0)</f>
        <v>0</v>
      </c>
      <c r="H56" s="26">
        <f>IF(Tabelle2[[#This Row],[Randbedingungen]]+IF(Tabelle2[[#This Row],[Höhe]]=select!$B$29,1,0)=2,1,0)</f>
        <v>0</v>
      </c>
      <c r="I56" s="26">
        <f>IF(Tabelle2[[#This Row],[Randbedingungen]]+IF(Tabelle2[[#This Row],[Höhe]]=select!$D$29,1,0)=2,1,0)</f>
        <v>0</v>
      </c>
      <c r="J56" s="26">
        <f>IF(Tabelle2[[#This Row],[Randbedingungen]]+IF(Tabelle2[[#This Row],[Höhe]]=select!$F$29,1,0)=2,1,0)</f>
        <v>0</v>
      </c>
      <c r="K56" s="26">
        <f>IF(Tabelle2[[#This Row],[Randbedingungen]]+IF(Tabelle2[[#This Row],[Höhe]]=select!$H$29,1,0)=2,1,0)</f>
        <v>0</v>
      </c>
      <c r="L5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6" s="43">
        <f ca="1">IF(Tabelle2[[#This Row],[Kröpfung 3]]+Tabelle2[[#This Row],[Kröpfung 0]]+Tabelle2[[#This Row],[Kröpfung 9,5]]+Tabelle2[[#This Row],[Kröpfung 19]]+Tabelle2[[#This Row],[auswahl K]]=2,1,0)</f>
        <v>0</v>
      </c>
      <c r="N56" s="36" t="str">
        <f ca="1">Sprache!$A$45</f>
        <v>1D Cross mounting plate TIOMOS</v>
      </c>
      <c r="O56" t="str">
        <f ca="1">"H 03, "&amp;Sprache!A51&amp;", ni /37"</f>
        <v>H 03, prem. short Euro screws, ni /37</v>
      </c>
      <c r="P56" t="str">
        <f ca="1">Sprache!$A$49</f>
        <v>TIOMOS mounting plates</v>
      </c>
      <c r="Q56" s="23">
        <v>1</v>
      </c>
      <c r="R56" s="23">
        <v>0</v>
      </c>
      <c r="S56" s="2">
        <v>0</v>
      </c>
      <c r="T56" s="2">
        <v>0</v>
      </c>
      <c r="U56" s="2">
        <v>0</v>
      </c>
      <c r="V56" s="2">
        <v>0</v>
      </c>
      <c r="W56" s="2">
        <v>1</v>
      </c>
      <c r="X56">
        <v>1</v>
      </c>
      <c r="Y56">
        <v>0</v>
      </c>
      <c r="Z56">
        <v>3</v>
      </c>
      <c r="AA56" s="15" t="s">
        <v>869</v>
      </c>
    </row>
    <row r="57" spans="1:27" ht="13.5" customHeight="1" x14ac:dyDescent="0.25">
      <c r="A57" s="34" t="str">
        <f t="shared" si="3"/>
        <v>F059</v>
      </c>
      <c r="B57" t="str">
        <f t="shared" si="4"/>
        <v>139</v>
      </c>
      <c r="C57" s="34" t="str">
        <f t="shared" si="5"/>
        <v>703</v>
      </c>
      <c r="D57" s="26">
        <f>IF(select!$H$16=1,Tabelle2[[#This Row],[Kreuz]],IF(select!$H$16=2,Tabelle2[[#This Row],[Linear]],0))</f>
        <v>0</v>
      </c>
      <c r="E5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7" s="26">
        <f>IF(Tabelle2[[#This Row],[37/32]]=1,1,IF(Tabelle2[[#This Row],[28/32]]=1,2,0))</f>
        <v>0</v>
      </c>
      <c r="G57" s="26">
        <f>IF(Tabelle2[[#This Row],[Kreuz/linear]]+Tabelle2[[#This Row],[Befestigung]]=2,1,0)</f>
        <v>0</v>
      </c>
      <c r="H57" s="26">
        <f>IF(Tabelle2[[#This Row],[Randbedingungen]]+IF(Tabelle2[[#This Row],[Höhe]]=select!$B$29,1,0)=2,1,0)</f>
        <v>0</v>
      </c>
      <c r="I57" s="26">
        <f>IF(Tabelle2[[#This Row],[Randbedingungen]]+IF(Tabelle2[[#This Row],[Höhe]]=select!$D$29,1,0)=2,1,0)</f>
        <v>0</v>
      </c>
      <c r="J57" s="26">
        <f>IF(Tabelle2[[#This Row],[Randbedingungen]]+IF(Tabelle2[[#This Row],[Höhe]]=select!$F$29,1,0)=2,1,0)</f>
        <v>0</v>
      </c>
      <c r="K57" s="26">
        <f>IF(Tabelle2[[#This Row],[Randbedingungen]]+IF(Tabelle2[[#This Row],[Höhe]]=select!$H$29,1,0)=2,1,0)</f>
        <v>0</v>
      </c>
      <c r="L5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7" s="43">
        <f ca="1">IF(Tabelle2[[#This Row],[Kröpfung 3]]+Tabelle2[[#This Row],[Kröpfung 0]]+Tabelle2[[#This Row],[Kröpfung 9,5]]+Tabelle2[[#This Row],[Kröpfung 19]]+Tabelle2[[#This Row],[auswahl K]]=2,1,0)</f>
        <v>0</v>
      </c>
      <c r="N57" s="36" t="str">
        <f ca="1">Sprache!$A$47</f>
        <v>1D linear mounting plate TIOMOS</v>
      </c>
      <c r="O57" t="s">
        <v>908</v>
      </c>
      <c r="P57" t="str">
        <f ca="1">Sprache!$A$49</f>
        <v>TIOMOS mounting plates</v>
      </c>
      <c r="Q57" s="23">
        <v>0</v>
      </c>
      <c r="R57" s="23">
        <v>1</v>
      </c>
      <c r="S57" s="2">
        <v>0</v>
      </c>
      <c r="T57" s="2">
        <v>1</v>
      </c>
      <c r="U57" s="2">
        <v>1</v>
      </c>
      <c r="V57" s="2">
        <v>0</v>
      </c>
      <c r="W57" s="2">
        <v>0</v>
      </c>
      <c r="Z57">
        <v>3</v>
      </c>
      <c r="AA57" s="15" t="s">
        <v>907</v>
      </c>
    </row>
    <row r="58" spans="1:27" ht="13.5" customHeight="1" x14ac:dyDescent="0.25">
      <c r="A58" s="34" t="str">
        <f t="shared" si="3"/>
        <v>F059</v>
      </c>
      <c r="B58" t="str">
        <f t="shared" si="4"/>
        <v>139</v>
      </c>
      <c r="C58" s="34" t="str">
        <f t="shared" si="5"/>
        <v>708</v>
      </c>
      <c r="D58" s="26">
        <f>IF(select!$H$16=1,Tabelle2[[#This Row],[Kreuz]],IF(select!$H$16=2,Tabelle2[[#This Row],[Linear]],0))</f>
        <v>0</v>
      </c>
      <c r="E5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8" s="26">
        <f>IF(Tabelle2[[#This Row],[37/32]]=1,1,IF(Tabelle2[[#This Row],[28/32]]=1,2,0))</f>
        <v>0</v>
      </c>
      <c r="G58" s="26">
        <f>IF(Tabelle2[[#This Row],[Kreuz/linear]]+Tabelle2[[#This Row],[Befestigung]]=2,1,0)</f>
        <v>0</v>
      </c>
      <c r="H58" s="26">
        <f>IF(Tabelle2[[#This Row],[Randbedingungen]]+IF(Tabelle2[[#This Row],[Höhe]]=select!$B$29,1,0)=2,1,0)</f>
        <v>0</v>
      </c>
      <c r="I58" s="26">
        <f>IF(Tabelle2[[#This Row],[Randbedingungen]]+IF(Tabelle2[[#This Row],[Höhe]]=select!$D$29,1,0)=2,1,0)</f>
        <v>0</v>
      </c>
      <c r="J58" s="26">
        <f>IF(Tabelle2[[#This Row],[Randbedingungen]]+IF(Tabelle2[[#This Row],[Höhe]]=select!$F$29,1,0)=2,1,0)</f>
        <v>0</v>
      </c>
      <c r="K58" s="26">
        <f>IF(Tabelle2[[#This Row],[Randbedingungen]]+IF(Tabelle2[[#This Row],[Höhe]]=select!$H$29,1,0)=2,1,0)</f>
        <v>0</v>
      </c>
      <c r="L5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8" s="43">
        <f ca="1">IF(Tabelle2[[#This Row],[Kröpfung 3]]+Tabelle2[[#This Row],[Kröpfung 0]]+Tabelle2[[#This Row],[Kröpfung 9,5]]+Tabelle2[[#This Row],[Kröpfung 19]]+Tabelle2[[#This Row],[auswahl K]]=2,1,0)</f>
        <v>0</v>
      </c>
      <c r="N58" s="36" t="str">
        <f ca="1">Sprache!$A$47</f>
        <v>1D linear mounting plate TIOMOS</v>
      </c>
      <c r="O58" t="s">
        <v>916</v>
      </c>
      <c r="P58" t="str">
        <f ca="1">Sprache!$A$49</f>
        <v>TIOMOS mounting plates</v>
      </c>
      <c r="Q58" s="23">
        <v>0</v>
      </c>
      <c r="R58" s="23">
        <v>1</v>
      </c>
      <c r="S58" s="2">
        <v>1</v>
      </c>
      <c r="T58" s="2">
        <v>0</v>
      </c>
      <c r="U58" s="2">
        <v>0</v>
      </c>
      <c r="V58" s="2">
        <v>0</v>
      </c>
      <c r="W58" s="2">
        <v>0</v>
      </c>
      <c r="Z58">
        <v>3</v>
      </c>
      <c r="AA58" s="15" t="s">
        <v>915</v>
      </c>
    </row>
    <row r="59" spans="1:27" ht="13.5" customHeight="1" x14ac:dyDescent="0.25">
      <c r="A59" s="34" t="str">
        <f t="shared" si="3"/>
        <v>F059</v>
      </c>
      <c r="B59" t="str">
        <f t="shared" si="4"/>
        <v>139</v>
      </c>
      <c r="C59" s="34" t="str">
        <f t="shared" si="5"/>
        <v>713</v>
      </c>
      <c r="D59" s="26">
        <f>IF(select!$H$16=1,Tabelle2[[#This Row],[Kreuz]],IF(select!$H$16=2,Tabelle2[[#This Row],[Linear]],0))</f>
        <v>0</v>
      </c>
      <c r="E5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59" s="26">
        <f>IF(Tabelle2[[#This Row],[37/32]]=1,1,IF(Tabelle2[[#This Row],[28/32]]=1,2,0))</f>
        <v>0</v>
      </c>
      <c r="G59" s="26">
        <f>IF(Tabelle2[[#This Row],[Kreuz/linear]]+Tabelle2[[#This Row],[Befestigung]]=2,1,0)</f>
        <v>0</v>
      </c>
      <c r="H59" s="26">
        <f>IF(Tabelle2[[#This Row],[Randbedingungen]]+IF(Tabelle2[[#This Row],[Höhe]]=select!$B$29,1,0)=2,1,0)</f>
        <v>0</v>
      </c>
      <c r="I59" s="26">
        <f>IF(Tabelle2[[#This Row],[Randbedingungen]]+IF(Tabelle2[[#This Row],[Höhe]]=select!$D$29,1,0)=2,1,0)</f>
        <v>0</v>
      </c>
      <c r="J59" s="26">
        <f>IF(Tabelle2[[#This Row],[Randbedingungen]]+IF(Tabelle2[[#This Row],[Höhe]]=select!$F$29,1,0)=2,1,0)</f>
        <v>0</v>
      </c>
      <c r="K59" s="26">
        <f>IF(Tabelle2[[#This Row],[Randbedingungen]]+IF(Tabelle2[[#This Row],[Höhe]]=select!$H$29,1,0)=2,1,0)</f>
        <v>0</v>
      </c>
      <c r="L5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59" s="43">
        <f ca="1">IF(Tabelle2[[#This Row],[Kröpfung 3]]+Tabelle2[[#This Row],[Kröpfung 0]]+Tabelle2[[#This Row],[Kröpfung 9,5]]+Tabelle2[[#This Row],[Kröpfung 19]]+Tabelle2[[#This Row],[auswahl K]]=2,1,0)</f>
        <v>0</v>
      </c>
      <c r="N59" s="36" t="str">
        <f ca="1">Sprache!$A$47</f>
        <v>1D linear mounting plate TIOMOS</v>
      </c>
      <c r="O59" t="str">
        <f ca="1">"H 03, "&amp;Sprache!A50&amp;", ni"</f>
        <v>H 03, prem. Euro screws, ni</v>
      </c>
      <c r="P59" t="str">
        <f ca="1">Sprache!$A$49</f>
        <v>TIOMOS mounting plates</v>
      </c>
      <c r="Q59" s="23">
        <v>0</v>
      </c>
      <c r="R59" s="23">
        <v>1</v>
      </c>
      <c r="S59" s="2">
        <v>0</v>
      </c>
      <c r="T59" s="2">
        <v>0</v>
      </c>
      <c r="U59" s="2">
        <v>0</v>
      </c>
      <c r="V59" s="2">
        <v>1</v>
      </c>
      <c r="W59" s="2">
        <v>0</v>
      </c>
      <c r="Z59">
        <v>3</v>
      </c>
      <c r="AA59" s="15" t="s">
        <v>921</v>
      </c>
    </row>
    <row r="60" spans="1:27" ht="13.5" customHeight="1" x14ac:dyDescent="0.25">
      <c r="A60" s="34" t="str">
        <f t="shared" si="3"/>
        <v>F059</v>
      </c>
      <c r="B60" t="str">
        <f t="shared" si="4"/>
        <v>139</v>
      </c>
      <c r="C60" s="34" t="str">
        <f t="shared" si="5"/>
        <v>879</v>
      </c>
      <c r="D60" s="26">
        <f>IF(select!$H$16=1,Tabelle2[[#This Row],[Kreuz]],IF(select!$H$16=2,Tabelle2[[#This Row],[Linear]],0))</f>
        <v>0</v>
      </c>
      <c r="E6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0" s="26">
        <f>IF(Tabelle2[[#This Row],[37/32]]=1,1,IF(Tabelle2[[#This Row],[28/32]]=1,2,0))</f>
        <v>0</v>
      </c>
      <c r="G60" s="26">
        <f>IF(Tabelle2[[#This Row],[Kreuz/linear]]+Tabelle2[[#This Row],[Befestigung]]=2,1,0)</f>
        <v>0</v>
      </c>
      <c r="H60" s="26">
        <f>IF(Tabelle2[[#This Row],[Randbedingungen]]+IF(Tabelle2[[#This Row],[Höhe]]=select!$B$29,1,0)=2,1,0)</f>
        <v>0</v>
      </c>
      <c r="I60" s="26">
        <f>IF(Tabelle2[[#This Row],[Randbedingungen]]+IF(Tabelle2[[#This Row],[Höhe]]=select!$D$29,1,0)=2,1,0)</f>
        <v>0</v>
      </c>
      <c r="J60" s="26">
        <f>IF(Tabelle2[[#This Row],[Randbedingungen]]+IF(Tabelle2[[#This Row],[Höhe]]=select!$F$29,1,0)=2,1,0)</f>
        <v>0</v>
      </c>
      <c r="K60" s="26">
        <f>IF(Tabelle2[[#This Row],[Randbedingungen]]+IF(Tabelle2[[#This Row],[Höhe]]=select!$H$29,1,0)=2,1,0)</f>
        <v>0</v>
      </c>
      <c r="L6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0" s="43">
        <f ca="1">IF(Tabelle2[[#This Row],[Kröpfung 3]]+Tabelle2[[#This Row],[Kröpfung 0]]+Tabelle2[[#This Row],[Kröpfung 9,5]]+Tabelle2[[#This Row],[Kröpfung 19]]+Tabelle2[[#This Row],[auswahl K]]=2,1,0)</f>
        <v>0</v>
      </c>
      <c r="N60" s="36" t="str">
        <f ca="1">Sprache!$A$47</f>
        <v>1D linear mounting plate TIOMOS</v>
      </c>
      <c r="O60" t="s">
        <v>916</v>
      </c>
      <c r="P60" t="str">
        <f ca="1">Sprache!$A$49</f>
        <v>TIOMOS mounting plates</v>
      </c>
      <c r="Q60" s="23">
        <v>0</v>
      </c>
      <c r="R60" s="23">
        <v>1</v>
      </c>
      <c r="S60" s="2">
        <v>1</v>
      </c>
      <c r="T60" s="2">
        <v>0</v>
      </c>
      <c r="U60" s="2">
        <v>0</v>
      </c>
      <c r="V60" s="2">
        <v>0</v>
      </c>
      <c r="W60" s="2">
        <v>0</v>
      </c>
      <c r="Z60">
        <v>3</v>
      </c>
      <c r="AA60" s="15" t="s">
        <v>928</v>
      </c>
    </row>
    <row r="61" spans="1:27" ht="13.5" customHeight="1" x14ac:dyDescent="0.25">
      <c r="A61" s="34" t="str">
        <f t="shared" si="3"/>
        <v>F058</v>
      </c>
      <c r="B61" t="str">
        <f t="shared" si="4"/>
        <v>139</v>
      </c>
      <c r="C61" s="34" t="str">
        <f t="shared" si="5"/>
        <v>724</v>
      </c>
      <c r="D61" s="26">
        <f>IF(select!$H$16=1,Tabelle2[[#This Row],[Kreuz]],IF(select!$H$16=2,Tabelle2[[#This Row],[Linear]],0))</f>
        <v>1</v>
      </c>
      <c r="E6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1" s="26">
        <f>IF(Tabelle2[[#This Row],[37/32]]=1,1,IF(Tabelle2[[#This Row],[28/32]]=1,2,0))</f>
        <v>1</v>
      </c>
      <c r="G61" s="26">
        <f>IF(Tabelle2[[#This Row],[Kreuz/linear]]+Tabelle2[[#This Row],[Befestigung]]=2,1,0)</f>
        <v>0</v>
      </c>
      <c r="H61" s="26">
        <f>IF(Tabelle2[[#This Row],[Randbedingungen]]+IF(Tabelle2[[#This Row],[Höhe]]=select!$B$29,1,0)=2,1,0)</f>
        <v>0</v>
      </c>
      <c r="I61" s="26">
        <f>IF(Tabelle2[[#This Row],[Randbedingungen]]+IF(Tabelle2[[#This Row],[Höhe]]=select!$D$29,1,0)=2,1,0)</f>
        <v>0</v>
      </c>
      <c r="J61" s="26">
        <f>IF(Tabelle2[[#This Row],[Randbedingungen]]+IF(Tabelle2[[#This Row],[Höhe]]=select!$F$29,1,0)=2,1,0)</f>
        <v>0</v>
      </c>
      <c r="K61" s="26">
        <f>IF(Tabelle2[[#This Row],[Randbedingungen]]+IF(Tabelle2[[#This Row],[Höhe]]=select!$H$29,1,0)=2,1,0)</f>
        <v>0</v>
      </c>
      <c r="L6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1" s="43">
        <f ca="1">IF(Tabelle2[[#This Row],[Kröpfung 3]]+Tabelle2[[#This Row],[Kröpfung 0]]+Tabelle2[[#This Row],[Kröpfung 9,5]]+Tabelle2[[#This Row],[Kröpfung 19]]+Tabelle2[[#This Row],[auswahl K]]=2,1,0)</f>
        <v>0</v>
      </c>
      <c r="N61" s="36" t="str">
        <f ca="1">Sprache!$A$46</f>
        <v>ECO Cross mounting plate TIOMOS</v>
      </c>
      <c r="O61" t="s">
        <v>793</v>
      </c>
      <c r="P61" t="str">
        <f ca="1">Sprache!$A$49</f>
        <v>TIOMOS mounting plates</v>
      </c>
      <c r="Q61" s="23">
        <v>1</v>
      </c>
      <c r="R61" s="23">
        <v>0</v>
      </c>
      <c r="S61" s="2">
        <v>0</v>
      </c>
      <c r="T61" s="2">
        <v>1</v>
      </c>
      <c r="U61" s="2">
        <v>0</v>
      </c>
      <c r="V61" s="2">
        <v>0</v>
      </c>
      <c r="W61" s="2">
        <v>0</v>
      </c>
      <c r="X61">
        <v>1</v>
      </c>
      <c r="Y61">
        <v>0</v>
      </c>
      <c r="Z61">
        <v>3.5</v>
      </c>
      <c r="AA61" s="15" t="s">
        <v>792</v>
      </c>
    </row>
    <row r="62" spans="1:27" ht="13.5" customHeight="1" x14ac:dyDescent="0.25">
      <c r="A62" s="34" t="str">
        <f t="shared" si="3"/>
        <v>F058</v>
      </c>
      <c r="B62" t="str">
        <f t="shared" si="4"/>
        <v>139</v>
      </c>
      <c r="C62" s="34" t="str">
        <f t="shared" si="5"/>
        <v>729</v>
      </c>
      <c r="D62" s="26">
        <f>IF(select!$H$16=1,Tabelle2[[#This Row],[Kreuz]],IF(select!$H$16=2,Tabelle2[[#This Row],[Linear]],0))</f>
        <v>1</v>
      </c>
      <c r="E6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2" s="26">
        <f>IF(Tabelle2[[#This Row],[37/32]]=1,1,IF(Tabelle2[[#This Row],[28/32]]=1,2,0))</f>
        <v>1</v>
      </c>
      <c r="G62" s="26">
        <f>IF(Tabelle2[[#This Row],[Kreuz/linear]]+Tabelle2[[#This Row],[Befestigung]]=2,1,0)</f>
        <v>0</v>
      </c>
      <c r="H62" s="26">
        <f>IF(Tabelle2[[#This Row],[Randbedingungen]]+IF(Tabelle2[[#This Row],[Höhe]]=select!$B$29,1,0)=2,1,0)</f>
        <v>0</v>
      </c>
      <c r="I62" s="26">
        <f>IF(Tabelle2[[#This Row],[Randbedingungen]]+IF(Tabelle2[[#This Row],[Höhe]]=select!$D$29,1,0)=2,1,0)</f>
        <v>0</v>
      </c>
      <c r="J62" s="26">
        <f>IF(Tabelle2[[#This Row],[Randbedingungen]]+IF(Tabelle2[[#This Row],[Höhe]]=select!$F$29,1,0)=2,1,0)</f>
        <v>0</v>
      </c>
      <c r="K62" s="26">
        <f>IF(Tabelle2[[#This Row],[Randbedingungen]]+IF(Tabelle2[[#This Row],[Höhe]]=select!$H$29,1,0)=2,1,0)</f>
        <v>0</v>
      </c>
      <c r="L6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2" s="43">
        <f ca="1">IF(Tabelle2[[#This Row],[Kröpfung 3]]+Tabelle2[[#This Row],[Kröpfung 0]]+Tabelle2[[#This Row],[Kröpfung 9,5]]+Tabelle2[[#This Row],[Kröpfung 19]]+Tabelle2[[#This Row],[auswahl K]]=2,1,0)</f>
        <v>0</v>
      </c>
      <c r="N62" s="36" t="str">
        <f ca="1">Sprache!$A$46</f>
        <v>ECO Cross mounting plate TIOMOS</v>
      </c>
      <c r="O62" t="s">
        <v>803</v>
      </c>
      <c r="P62" t="str">
        <f ca="1">Sprache!$A$49</f>
        <v>TIOMOS mounting plates</v>
      </c>
      <c r="Q62" s="23">
        <v>1</v>
      </c>
      <c r="R62" s="23">
        <v>0</v>
      </c>
      <c r="S62" s="2">
        <v>1</v>
      </c>
      <c r="T62" s="2">
        <v>0</v>
      </c>
      <c r="U62" s="2">
        <v>0</v>
      </c>
      <c r="V62" s="2">
        <v>0</v>
      </c>
      <c r="W62" s="2">
        <v>0</v>
      </c>
      <c r="X62">
        <v>1</v>
      </c>
      <c r="Y62">
        <v>0</v>
      </c>
      <c r="Z62">
        <v>3.5</v>
      </c>
      <c r="AA62" s="15" t="s">
        <v>802</v>
      </c>
    </row>
    <row r="63" spans="1:27" ht="13.5" customHeight="1" x14ac:dyDescent="0.25">
      <c r="A63" s="34" t="str">
        <f t="shared" si="3"/>
        <v>F058</v>
      </c>
      <c r="B63" t="str">
        <f t="shared" si="4"/>
        <v>139</v>
      </c>
      <c r="C63" s="34" t="str">
        <f t="shared" si="5"/>
        <v>739</v>
      </c>
      <c r="D63" s="26">
        <f>IF(select!$H$16=1,Tabelle2[[#This Row],[Kreuz]],IF(select!$H$16=2,Tabelle2[[#This Row],[Linear]],0))</f>
        <v>1</v>
      </c>
      <c r="E6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3" s="26">
        <f>IF(Tabelle2[[#This Row],[37/32]]=1,1,IF(Tabelle2[[#This Row],[28/32]]=1,2,0))</f>
        <v>1</v>
      </c>
      <c r="G63" s="26">
        <f>IF(Tabelle2[[#This Row],[Kreuz/linear]]+Tabelle2[[#This Row],[Befestigung]]=2,1,0)</f>
        <v>0</v>
      </c>
      <c r="H63" s="26">
        <f>IF(Tabelle2[[#This Row],[Randbedingungen]]+IF(Tabelle2[[#This Row],[Höhe]]=select!$B$29,1,0)=2,1,0)</f>
        <v>0</v>
      </c>
      <c r="I63" s="26">
        <f>IF(Tabelle2[[#This Row],[Randbedingungen]]+IF(Tabelle2[[#This Row],[Höhe]]=select!$D$29,1,0)=2,1,0)</f>
        <v>0</v>
      </c>
      <c r="J63" s="26">
        <f>IF(Tabelle2[[#This Row],[Randbedingungen]]+IF(Tabelle2[[#This Row],[Höhe]]=select!$F$29,1,0)=2,1,0)</f>
        <v>0</v>
      </c>
      <c r="K63" s="26">
        <f>IF(Tabelle2[[#This Row],[Randbedingungen]]+IF(Tabelle2[[#This Row],[Höhe]]=select!$H$29,1,0)=2,1,0)</f>
        <v>0</v>
      </c>
      <c r="L6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3" s="43">
        <f ca="1">IF(Tabelle2[[#This Row],[Kröpfung 3]]+Tabelle2[[#This Row],[Kröpfung 0]]+Tabelle2[[#This Row],[Kröpfung 9,5]]+Tabelle2[[#This Row],[Kröpfung 19]]+Tabelle2[[#This Row],[auswahl K]]=2,1,0)</f>
        <v>0</v>
      </c>
      <c r="N63" s="36" t="str">
        <f ca="1">Sprache!$A$46</f>
        <v>ECO Cross mounting plate TIOMOS</v>
      </c>
      <c r="O63" t="s">
        <v>813</v>
      </c>
      <c r="P63" t="str">
        <f ca="1">Sprache!$A$49</f>
        <v>TIOMOS mounting plates</v>
      </c>
      <c r="Q63" s="23">
        <v>1</v>
      </c>
      <c r="R63" s="23">
        <v>0</v>
      </c>
      <c r="S63" s="2">
        <v>0</v>
      </c>
      <c r="T63" s="2">
        <v>0</v>
      </c>
      <c r="U63" s="2">
        <v>0</v>
      </c>
      <c r="V63" s="2">
        <v>1</v>
      </c>
      <c r="W63" s="2">
        <v>0</v>
      </c>
      <c r="X63">
        <v>1</v>
      </c>
      <c r="Y63">
        <v>0</v>
      </c>
      <c r="Z63">
        <v>3.5</v>
      </c>
      <c r="AA63" s="15" t="s">
        <v>812</v>
      </c>
    </row>
    <row r="64" spans="1:27" ht="13.5" customHeight="1" x14ac:dyDescent="0.25">
      <c r="A64" s="34" t="str">
        <f t="shared" si="3"/>
        <v>F058</v>
      </c>
      <c r="B64" t="str">
        <f t="shared" si="4"/>
        <v>139</v>
      </c>
      <c r="C64" s="34" t="str">
        <f t="shared" si="5"/>
        <v>749</v>
      </c>
      <c r="D64" s="26">
        <f>IF(select!$H$16=1,Tabelle2[[#This Row],[Kreuz]],IF(select!$H$16=2,Tabelle2[[#This Row],[Linear]],0))</f>
        <v>1</v>
      </c>
      <c r="E6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4" s="26">
        <f>IF(Tabelle2[[#This Row],[37/32]]=1,1,IF(Tabelle2[[#This Row],[28/32]]=1,2,0))</f>
        <v>1</v>
      </c>
      <c r="G64" s="26">
        <f>IF(Tabelle2[[#This Row],[Kreuz/linear]]+Tabelle2[[#This Row],[Befestigung]]=2,1,0)</f>
        <v>0</v>
      </c>
      <c r="H64" s="26">
        <f>IF(Tabelle2[[#This Row],[Randbedingungen]]+IF(Tabelle2[[#This Row],[Höhe]]=select!$B$29,1,0)=2,1,0)</f>
        <v>0</v>
      </c>
      <c r="I64" s="26">
        <f>IF(Tabelle2[[#This Row],[Randbedingungen]]+IF(Tabelle2[[#This Row],[Höhe]]=select!$D$29,1,0)=2,1,0)</f>
        <v>0</v>
      </c>
      <c r="J64" s="26">
        <f>IF(Tabelle2[[#This Row],[Randbedingungen]]+IF(Tabelle2[[#This Row],[Höhe]]=select!$F$29,1,0)=2,1,0)</f>
        <v>0</v>
      </c>
      <c r="K64" s="26">
        <f>IF(Tabelle2[[#This Row],[Randbedingungen]]+IF(Tabelle2[[#This Row],[Höhe]]=select!$H$29,1,0)=2,1,0)</f>
        <v>0</v>
      </c>
      <c r="L6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4" s="43">
        <f ca="1">IF(Tabelle2[[#This Row],[Kröpfung 3]]+Tabelle2[[#This Row],[Kröpfung 0]]+Tabelle2[[#This Row],[Kröpfung 9,5]]+Tabelle2[[#This Row],[Kröpfung 19]]+Tabelle2[[#This Row],[auswahl K]]=2,1,0)</f>
        <v>0</v>
      </c>
      <c r="N64" s="36" t="str">
        <f ca="1">Sprache!$A$45</f>
        <v>1D Cross mounting plate TIOMOS</v>
      </c>
      <c r="O64" t="s">
        <v>793</v>
      </c>
      <c r="P64" t="str">
        <f ca="1">Sprache!$A$49</f>
        <v>TIOMOS mounting plates</v>
      </c>
      <c r="Q64" s="23">
        <v>1</v>
      </c>
      <c r="R64" s="23">
        <v>0</v>
      </c>
      <c r="S64" s="2">
        <v>0</v>
      </c>
      <c r="T64" s="2">
        <v>1</v>
      </c>
      <c r="U64" s="2">
        <v>0</v>
      </c>
      <c r="V64" s="2">
        <v>0</v>
      </c>
      <c r="W64" s="2">
        <v>0</v>
      </c>
      <c r="X64">
        <v>1</v>
      </c>
      <c r="Y64">
        <v>0</v>
      </c>
      <c r="Z64">
        <v>3.5</v>
      </c>
      <c r="AA64" s="15" t="s">
        <v>818</v>
      </c>
    </row>
    <row r="65" spans="1:27" ht="13.5" customHeight="1" x14ac:dyDescent="0.25">
      <c r="A65" s="34" t="str">
        <f t="shared" si="3"/>
        <v>F058</v>
      </c>
      <c r="B65" t="str">
        <f t="shared" si="4"/>
        <v>139</v>
      </c>
      <c r="C65" s="34" t="str">
        <f t="shared" si="5"/>
        <v>754</v>
      </c>
      <c r="D65" s="26">
        <f>IF(select!$H$16=1,Tabelle2[[#This Row],[Kreuz]],IF(select!$H$16=2,Tabelle2[[#This Row],[Linear]],0))</f>
        <v>1</v>
      </c>
      <c r="E6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5" s="26">
        <f>IF(Tabelle2[[#This Row],[37/32]]=1,1,IF(Tabelle2[[#This Row],[28/32]]=1,2,0))</f>
        <v>1</v>
      </c>
      <c r="G65" s="26">
        <f>IF(Tabelle2[[#This Row],[Kreuz/linear]]+Tabelle2[[#This Row],[Befestigung]]=2,1,0)</f>
        <v>0</v>
      </c>
      <c r="H65" s="26">
        <f>IF(Tabelle2[[#This Row],[Randbedingungen]]+IF(Tabelle2[[#This Row],[Höhe]]=select!$B$29,1,0)=2,1,0)</f>
        <v>0</v>
      </c>
      <c r="I65" s="26">
        <f>IF(Tabelle2[[#This Row],[Randbedingungen]]+IF(Tabelle2[[#This Row],[Höhe]]=select!$D$29,1,0)=2,1,0)</f>
        <v>0</v>
      </c>
      <c r="J65" s="26">
        <f>IF(Tabelle2[[#This Row],[Randbedingungen]]+IF(Tabelle2[[#This Row],[Höhe]]=select!$F$29,1,0)=2,1,0)</f>
        <v>0</v>
      </c>
      <c r="K65" s="26">
        <f>IF(Tabelle2[[#This Row],[Randbedingungen]]+IF(Tabelle2[[#This Row],[Höhe]]=select!$H$29,1,0)=2,1,0)</f>
        <v>0</v>
      </c>
      <c r="L6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5" s="43">
        <f ca="1">IF(Tabelle2[[#This Row],[Kröpfung 3]]+Tabelle2[[#This Row],[Kröpfung 0]]+Tabelle2[[#This Row],[Kröpfung 9,5]]+Tabelle2[[#This Row],[Kröpfung 19]]+Tabelle2[[#This Row],[auswahl K]]=2,1,0)</f>
        <v>0</v>
      </c>
      <c r="N65" s="36" t="str">
        <f ca="1">Sprache!$A$45</f>
        <v>1D Cross mounting plate TIOMOS</v>
      </c>
      <c r="O65" t="s">
        <v>803</v>
      </c>
      <c r="P65" t="str">
        <f ca="1">Sprache!$A$49</f>
        <v>TIOMOS mounting plates</v>
      </c>
      <c r="Q65" s="23">
        <v>1</v>
      </c>
      <c r="R65" s="23">
        <v>0</v>
      </c>
      <c r="S65" s="2">
        <v>1</v>
      </c>
      <c r="T65" s="2">
        <v>0</v>
      </c>
      <c r="U65" s="2">
        <v>0</v>
      </c>
      <c r="V65" s="2">
        <v>0</v>
      </c>
      <c r="W65" s="2">
        <v>0</v>
      </c>
      <c r="X65">
        <v>1</v>
      </c>
      <c r="Y65">
        <v>0</v>
      </c>
      <c r="Z65">
        <v>3.5</v>
      </c>
      <c r="AA65" s="15" t="s">
        <v>56</v>
      </c>
    </row>
    <row r="66" spans="1:27" ht="13.5" customHeight="1" x14ac:dyDescent="0.25">
      <c r="A66" s="34" t="str">
        <f t="shared" ref="A66:A95" si="6">LEFT(AA66,4)</f>
        <v>F058</v>
      </c>
      <c r="B66" t="str">
        <f t="shared" ref="B66:B95" si="7">MID(AA66,5,3)</f>
        <v>139</v>
      </c>
      <c r="C66" s="34" t="str">
        <f t="shared" ref="C66:C95" si="8">RIGHT(AA66,3)</f>
        <v>759</v>
      </c>
      <c r="D66" s="26">
        <f>IF(select!$H$16=1,Tabelle2[[#This Row],[Kreuz]],IF(select!$H$16=2,Tabelle2[[#This Row],[Linear]],0))</f>
        <v>1</v>
      </c>
      <c r="E6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1</v>
      </c>
      <c r="F66" s="26">
        <f>IF(Tabelle2[[#This Row],[37/32]]=1,1,IF(Tabelle2[[#This Row],[28/32]]=1,2,0))</f>
        <v>1</v>
      </c>
      <c r="G66" s="26">
        <f>IF(Tabelle2[[#This Row],[Kreuz/linear]]+Tabelle2[[#This Row],[Befestigung]]=2,1,0)</f>
        <v>1</v>
      </c>
      <c r="H66" s="26">
        <f>IF(Tabelle2[[#This Row],[Randbedingungen]]+IF(Tabelle2[[#This Row],[Höhe]]=select!$B$29,1,0)=2,1,0)</f>
        <v>0</v>
      </c>
      <c r="I66" s="26">
        <f>IF(Tabelle2[[#This Row],[Randbedingungen]]+IF(Tabelle2[[#This Row],[Höhe]]=select!$D$29,1,0)=2,1,0)</f>
        <v>0</v>
      </c>
      <c r="J66" s="26">
        <f>IF(Tabelle2[[#This Row],[Randbedingungen]]+IF(Tabelle2[[#This Row],[Höhe]]=select!$F$29,1,0)=2,1,0)</f>
        <v>1</v>
      </c>
      <c r="K66" s="26">
        <f>IF(Tabelle2[[#This Row],[Randbedingungen]]+IF(Tabelle2[[#This Row],[Höhe]]=select!$H$29,1,0)=2,1,0)</f>
        <v>0</v>
      </c>
      <c r="L66" s="26">
        <f ca="1">IF(select!$F$86=-1000,1,IF(IF(Tabelle2[[#This Row],[Kröpfung 3]]=1,3,IF(Tabelle2[[#This Row],[Kröpfung 0]]=1,0,IF(Tabelle2[[#This Row],[Kröpfung 9,5]]=1,9.5,IF(Tabelle2[[#This Row],[Kröpfung 19]]=1,19,""))))=select!$F$86,1,0))</f>
        <v>1</v>
      </c>
      <c r="M66" s="43">
        <f ca="1">IF(Tabelle2[[#This Row],[Kröpfung 3]]+Tabelle2[[#This Row],[Kröpfung 0]]+Tabelle2[[#This Row],[Kröpfung 9,5]]+Tabelle2[[#This Row],[Kröpfung 19]]+Tabelle2[[#This Row],[auswahl K]]=2,1,0)</f>
        <v>1</v>
      </c>
      <c r="N66" s="36" t="str">
        <f ca="1">Sprache!$A$45</f>
        <v>1D Cross mounting plate TIOMOS</v>
      </c>
      <c r="O66" t="s">
        <v>826</v>
      </c>
      <c r="P66" t="str">
        <f ca="1">Sprache!$A$49</f>
        <v>TIOMOS mounting plates</v>
      </c>
      <c r="Q66" s="23">
        <v>1</v>
      </c>
      <c r="R66" s="23">
        <v>0</v>
      </c>
      <c r="S66" s="2">
        <v>0</v>
      </c>
      <c r="T66" s="2">
        <v>0</v>
      </c>
      <c r="U66" s="2">
        <v>1</v>
      </c>
      <c r="V66" s="2">
        <v>0</v>
      </c>
      <c r="W66" s="2">
        <v>0</v>
      </c>
      <c r="X66">
        <v>1</v>
      </c>
      <c r="Y66">
        <v>0</v>
      </c>
      <c r="Z66">
        <v>3.5</v>
      </c>
      <c r="AA66" s="15" t="s">
        <v>825</v>
      </c>
    </row>
    <row r="67" spans="1:27" ht="13.5" customHeight="1" x14ac:dyDescent="0.25">
      <c r="A67" s="34" t="str">
        <f t="shared" si="6"/>
        <v>F058</v>
      </c>
      <c r="B67" t="str">
        <f t="shared" si="7"/>
        <v>139</v>
      </c>
      <c r="C67" s="34" t="str">
        <f t="shared" si="8"/>
        <v>764</v>
      </c>
      <c r="D67" s="26">
        <f>IF(select!$H$16=1,Tabelle2[[#This Row],[Kreuz]],IF(select!$H$16=2,Tabelle2[[#This Row],[Linear]],0))</f>
        <v>1</v>
      </c>
      <c r="E6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7" s="26">
        <f>IF(Tabelle2[[#This Row],[37/32]]=1,1,IF(Tabelle2[[#This Row],[28/32]]=1,2,0))</f>
        <v>1</v>
      </c>
      <c r="G67" s="26">
        <f>IF(Tabelle2[[#This Row],[Kreuz/linear]]+Tabelle2[[#This Row],[Befestigung]]=2,1,0)</f>
        <v>0</v>
      </c>
      <c r="H67" s="26">
        <f>IF(Tabelle2[[#This Row],[Randbedingungen]]+IF(Tabelle2[[#This Row],[Höhe]]=select!$B$29,1,0)=2,1,0)</f>
        <v>0</v>
      </c>
      <c r="I67" s="26">
        <f>IF(Tabelle2[[#This Row],[Randbedingungen]]+IF(Tabelle2[[#This Row],[Höhe]]=select!$D$29,1,0)=2,1,0)</f>
        <v>0</v>
      </c>
      <c r="J67" s="26">
        <f>IF(Tabelle2[[#This Row],[Randbedingungen]]+IF(Tabelle2[[#This Row],[Höhe]]=select!$F$29,1,0)=2,1,0)</f>
        <v>0</v>
      </c>
      <c r="K67" s="26">
        <f>IF(Tabelle2[[#This Row],[Randbedingungen]]+IF(Tabelle2[[#This Row],[Höhe]]=select!$H$29,1,0)=2,1,0)</f>
        <v>0</v>
      </c>
      <c r="L6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7" s="43">
        <f ca="1">IF(Tabelle2[[#This Row],[Kröpfung 3]]+Tabelle2[[#This Row],[Kröpfung 0]]+Tabelle2[[#This Row],[Kröpfung 9,5]]+Tabelle2[[#This Row],[Kröpfung 19]]+Tabelle2[[#This Row],[auswahl K]]=2,1,0)</f>
        <v>0</v>
      </c>
      <c r="N67" s="36" t="str">
        <f ca="1">Sprache!$A$45</f>
        <v>1D Cross mounting plate TIOMOS</v>
      </c>
      <c r="O67" t="str">
        <f ca="1">"H 35, "&amp;Sprache!A50&amp;", ni /37"</f>
        <v>H 35, prem. Euro screws, ni /37</v>
      </c>
      <c r="P67" t="str">
        <f ca="1">Sprache!$A$49</f>
        <v>TIOMOS mounting plates</v>
      </c>
      <c r="Q67" s="23">
        <v>1</v>
      </c>
      <c r="R67" s="23">
        <v>0</v>
      </c>
      <c r="S67" s="2">
        <v>0</v>
      </c>
      <c r="T67" s="2">
        <v>0</v>
      </c>
      <c r="U67" s="2">
        <v>0</v>
      </c>
      <c r="V67" s="2">
        <v>1</v>
      </c>
      <c r="W67" s="2">
        <v>0</v>
      </c>
      <c r="X67">
        <v>1</v>
      </c>
      <c r="Y67">
        <v>0</v>
      </c>
      <c r="Z67">
        <v>3.5</v>
      </c>
      <c r="AA67" s="15" t="s">
        <v>830</v>
      </c>
    </row>
    <row r="68" spans="1:27" ht="13.5" customHeight="1" x14ac:dyDescent="0.25">
      <c r="A68" s="34" t="str">
        <f t="shared" si="6"/>
        <v>F058</v>
      </c>
      <c r="B68" t="str">
        <f t="shared" si="7"/>
        <v>139</v>
      </c>
      <c r="C68" s="34" t="str">
        <f t="shared" si="8"/>
        <v>789</v>
      </c>
      <c r="D68" s="26">
        <f>IF(select!$H$16=1,Tabelle2[[#This Row],[Kreuz]],IF(select!$H$16=2,Tabelle2[[#This Row],[Linear]],0))</f>
        <v>1</v>
      </c>
      <c r="E6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8" s="26">
        <f>IF(Tabelle2[[#This Row],[37/32]]=1,1,IF(Tabelle2[[#This Row],[28/32]]=1,2,0))</f>
        <v>2</v>
      </c>
      <c r="G68" s="26">
        <f>IF(Tabelle2[[#This Row],[Kreuz/linear]]+Tabelle2[[#This Row],[Befestigung]]=2,1,0)</f>
        <v>0</v>
      </c>
      <c r="H68" s="26">
        <f>IF(Tabelle2[[#This Row],[Randbedingungen]]+IF(Tabelle2[[#This Row],[Höhe]]=select!$B$29,1,0)=2,1,0)</f>
        <v>0</v>
      </c>
      <c r="I68" s="26">
        <f>IF(Tabelle2[[#This Row],[Randbedingungen]]+IF(Tabelle2[[#This Row],[Höhe]]=select!$D$29,1,0)=2,1,0)</f>
        <v>0</v>
      </c>
      <c r="J68" s="26">
        <f>IF(Tabelle2[[#This Row],[Randbedingungen]]+IF(Tabelle2[[#This Row],[Höhe]]=select!$F$29,1,0)=2,1,0)</f>
        <v>0</v>
      </c>
      <c r="K68" s="26">
        <f>IF(Tabelle2[[#This Row],[Randbedingungen]]+IF(Tabelle2[[#This Row],[Höhe]]=select!$H$29,1,0)=2,1,0)</f>
        <v>0</v>
      </c>
      <c r="L6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8" s="43">
        <f ca="1">IF(Tabelle2[[#This Row],[Kröpfung 3]]+Tabelle2[[#This Row],[Kröpfung 0]]+Tabelle2[[#This Row],[Kröpfung 9,5]]+Tabelle2[[#This Row],[Kröpfung 19]]+Tabelle2[[#This Row],[auswahl K]]=2,1,0)</f>
        <v>0</v>
      </c>
      <c r="N68" s="36" t="str">
        <f ca="1">Sprache!$A$46</f>
        <v>ECO Cross mounting plate TIOMOS</v>
      </c>
      <c r="O68" t="s">
        <v>840</v>
      </c>
      <c r="P68" t="str">
        <f ca="1">Sprache!$A$49</f>
        <v>TIOMOS mounting plates</v>
      </c>
      <c r="Q68" s="23">
        <v>1</v>
      </c>
      <c r="R68" s="23">
        <v>0</v>
      </c>
      <c r="S68" s="2">
        <v>0</v>
      </c>
      <c r="T68" s="2">
        <v>0</v>
      </c>
      <c r="U68" s="2">
        <v>0</v>
      </c>
      <c r="V68" s="2">
        <v>1</v>
      </c>
      <c r="W68" s="2">
        <v>0</v>
      </c>
      <c r="X68">
        <v>0</v>
      </c>
      <c r="Y68">
        <v>1</v>
      </c>
      <c r="Z68">
        <v>3.5</v>
      </c>
      <c r="AA68" s="15" t="s">
        <v>839</v>
      </c>
    </row>
    <row r="69" spans="1:27" ht="13.5" customHeight="1" x14ac:dyDescent="0.25">
      <c r="A69" s="34" t="str">
        <f t="shared" si="6"/>
        <v>F058</v>
      </c>
      <c r="B69" t="str">
        <f t="shared" si="7"/>
        <v>139</v>
      </c>
      <c r="C69" s="34" t="str">
        <f t="shared" si="8"/>
        <v>799</v>
      </c>
      <c r="D69" s="26">
        <f>IF(select!$H$16=1,Tabelle2[[#This Row],[Kreuz]],IF(select!$H$16=2,Tabelle2[[#This Row],[Linear]],0))</f>
        <v>1</v>
      </c>
      <c r="E6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69" s="26">
        <f>IF(Tabelle2[[#This Row],[37/32]]=1,1,IF(Tabelle2[[#This Row],[28/32]]=1,2,0))</f>
        <v>2</v>
      </c>
      <c r="G69" s="26">
        <f>IF(Tabelle2[[#This Row],[Kreuz/linear]]+Tabelle2[[#This Row],[Befestigung]]=2,1,0)</f>
        <v>0</v>
      </c>
      <c r="H69" s="26">
        <f>IF(Tabelle2[[#This Row],[Randbedingungen]]+IF(Tabelle2[[#This Row],[Höhe]]=select!$B$29,1,0)=2,1,0)</f>
        <v>0</v>
      </c>
      <c r="I69" s="26">
        <f>IF(Tabelle2[[#This Row],[Randbedingungen]]+IF(Tabelle2[[#This Row],[Höhe]]=select!$D$29,1,0)=2,1,0)</f>
        <v>0</v>
      </c>
      <c r="J69" s="26">
        <f>IF(Tabelle2[[#This Row],[Randbedingungen]]+IF(Tabelle2[[#This Row],[Höhe]]=select!$F$29,1,0)=2,1,0)</f>
        <v>0</v>
      </c>
      <c r="K69" s="26">
        <f>IF(Tabelle2[[#This Row],[Randbedingungen]]+IF(Tabelle2[[#This Row],[Höhe]]=select!$H$29,1,0)=2,1,0)</f>
        <v>0</v>
      </c>
      <c r="L6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69" s="43">
        <f ca="1">IF(Tabelle2[[#This Row],[Kröpfung 3]]+Tabelle2[[#This Row],[Kröpfung 0]]+Tabelle2[[#This Row],[Kröpfung 9,5]]+Tabelle2[[#This Row],[Kröpfung 19]]+Tabelle2[[#This Row],[auswahl K]]=2,1,0)</f>
        <v>0</v>
      </c>
      <c r="N69" s="36" t="str">
        <f ca="1">Sprache!$A$45</f>
        <v>1D Cross mounting plate TIOMOS</v>
      </c>
      <c r="O69" t="s">
        <v>844</v>
      </c>
      <c r="P69" t="str">
        <f ca="1">Sprache!$A$49</f>
        <v>TIOMOS mounting plates</v>
      </c>
      <c r="Q69" s="23">
        <v>1</v>
      </c>
      <c r="R69" s="23">
        <v>0</v>
      </c>
      <c r="S69" s="2">
        <v>0</v>
      </c>
      <c r="T69" s="2">
        <v>1</v>
      </c>
      <c r="U69" s="2">
        <v>0</v>
      </c>
      <c r="V69" s="2">
        <v>0</v>
      </c>
      <c r="W69" s="2">
        <v>0</v>
      </c>
      <c r="X69">
        <v>0</v>
      </c>
      <c r="Y69">
        <v>1</v>
      </c>
      <c r="Z69">
        <v>3.5</v>
      </c>
      <c r="AA69" s="15" t="s">
        <v>60</v>
      </c>
    </row>
    <row r="70" spans="1:27" ht="13.5" customHeight="1" x14ac:dyDescent="0.25">
      <c r="A70" s="34" t="str">
        <f t="shared" si="6"/>
        <v>F058</v>
      </c>
      <c r="B70" t="str">
        <f t="shared" si="7"/>
        <v>139</v>
      </c>
      <c r="C70" s="34" t="str">
        <f t="shared" si="8"/>
        <v>804</v>
      </c>
      <c r="D70" s="26">
        <f>IF(select!$H$16=1,Tabelle2[[#This Row],[Kreuz]],IF(select!$H$16=2,Tabelle2[[#This Row],[Linear]],0))</f>
        <v>1</v>
      </c>
      <c r="E7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0" s="26">
        <f>IF(Tabelle2[[#This Row],[37/32]]=1,1,IF(Tabelle2[[#This Row],[28/32]]=1,2,0))</f>
        <v>2</v>
      </c>
      <c r="G70" s="26">
        <f>IF(Tabelle2[[#This Row],[Kreuz/linear]]+Tabelle2[[#This Row],[Befestigung]]=2,1,0)</f>
        <v>0</v>
      </c>
      <c r="H70" s="26">
        <f>IF(Tabelle2[[#This Row],[Randbedingungen]]+IF(Tabelle2[[#This Row],[Höhe]]=select!$B$29,1,0)=2,1,0)</f>
        <v>0</v>
      </c>
      <c r="I70" s="26">
        <f>IF(Tabelle2[[#This Row],[Randbedingungen]]+IF(Tabelle2[[#This Row],[Höhe]]=select!$D$29,1,0)=2,1,0)</f>
        <v>0</v>
      </c>
      <c r="J70" s="26">
        <f>IF(Tabelle2[[#This Row],[Randbedingungen]]+IF(Tabelle2[[#This Row],[Höhe]]=select!$F$29,1,0)=2,1,0)</f>
        <v>0</v>
      </c>
      <c r="K70" s="26">
        <f>IF(Tabelle2[[#This Row],[Randbedingungen]]+IF(Tabelle2[[#This Row],[Höhe]]=select!$H$29,1,0)=2,1,0)</f>
        <v>0</v>
      </c>
      <c r="L7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0" s="43">
        <f ca="1">IF(Tabelle2[[#This Row],[Kröpfung 3]]+Tabelle2[[#This Row],[Kröpfung 0]]+Tabelle2[[#This Row],[Kröpfung 9,5]]+Tabelle2[[#This Row],[Kröpfung 19]]+Tabelle2[[#This Row],[auswahl K]]=2,1,0)</f>
        <v>0</v>
      </c>
      <c r="N70" s="36" t="str">
        <f ca="1">Sprache!$A$45</f>
        <v>1D Cross mounting plate TIOMOS</v>
      </c>
      <c r="O70" t="s">
        <v>852</v>
      </c>
      <c r="P70" t="str">
        <f ca="1">Sprache!$A$49</f>
        <v>TIOMOS mounting plates</v>
      </c>
      <c r="Q70" s="23">
        <v>1</v>
      </c>
      <c r="R70" s="23">
        <v>0</v>
      </c>
      <c r="S70" s="2">
        <v>1</v>
      </c>
      <c r="T70" s="2">
        <v>0</v>
      </c>
      <c r="U70" s="2">
        <v>0</v>
      </c>
      <c r="V70" s="2">
        <v>0</v>
      </c>
      <c r="W70" s="2">
        <v>0</v>
      </c>
      <c r="X70">
        <v>0</v>
      </c>
      <c r="Y70">
        <v>1</v>
      </c>
      <c r="Z70">
        <v>3.5</v>
      </c>
      <c r="AA70" s="15" t="s">
        <v>851</v>
      </c>
    </row>
    <row r="71" spans="1:27" ht="13.5" customHeight="1" x14ac:dyDescent="0.25">
      <c r="A71" s="34" t="str">
        <f t="shared" si="6"/>
        <v>F058</v>
      </c>
      <c r="B71" t="str">
        <f t="shared" si="7"/>
        <v>139</v>
      </c>
      <c r="C71" s="34" t="str">
        <f t="shared" si="8"/>
        <v>814</v>
      </c>
      <c r="D71" s="26">
        <f>IF(select!$H$16=1,Tabelle2[[#This Row],[Kreuz]],IF(select!$H$16=2,Tabelle2[[#This Row],[Linear]],0))</f>
        <v>1</v>
      </c>
      <c r="E7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1" s="26">
        <f>IF(Tabelle2[[#This Row],[37/32]]=1,1,IF(Tabelle2[[#This Row],[28/32]]=1,2,0))</f>
        <v>2</v>
      </c>
      <c r="G71" s="26">
        <f>IF(Tabelle2[[#This Row],[Kreuz/linear]]+Tabelle2[[#This Row],[Befestigung]]=2,1,0)</f>
        <v>0</v>
      </c>
      <c r="H71" s="26">
        <f>IF(Tabelle2[[#This Row],[Randbedingungen]]+IF(Tabelle2[[#This Row],[Höhe]]=select!$B$29,1,0)=2,1,0)</f>
        <v>0</v>
      </c>
      <c r="I71" s="26">
        <f>IF(Tabelle2[[#This Row],[Randbedingungen]]+IF(Tabelle2[[#This Row],[Höhe]]=select!$D$29,1,0)=2,1,0)</f>
        <v>0</v>
      </c>
      <c r="J71" s="26">
        <f>IF(Tabelle2[[#This Row],[Randbedingungen]]+IF(Tabelle2[[#This Row],[Höhe]]=select!$F$29,1,0)=2,1,0)</f>
        <v>0</v>
      </c>
      <c r="K71" s="26">
        <f>IF(Tabelle2[[#This Row],[Randbedingungen]]+IF(Tabelle2[[#This Row],[Höhe]]=select!$H$29,1,0)=2,1,0)</f>
        <v>0</v>
      </c>
      <c r="L7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1" s="43">
        <f ca="1">IF(Tabelle2[[#This Row],[Kröpfung 3]]+Tabelle2[[#This Row],[Kröpfung 0]]+Tabelle2[[#This Row],[Kröpfung 9,5]]+Tabelle2[[#This Row],[Kröpfung 19]]+Tabelle2[[#This Row],[auswahl K]]=2,1,0)</f>
        <v>0</v>
      </c>
      <c r="N71" s="36" t="str">
        <f ca="1">Sprache!$A$45</f>
        <v>1D Cross mounting plate TIOMOS</v>
      </c>
      <c r="O71" t="str">
        <f ca="1">"H 35, "&amp;Sprache!A50&amp;", ni /28"</f>
        <v>H 35, prem. Euro screws, ni /28</v>
      </c>
      <c r="P71" t="str">
        <f ca="1">Sprache!$A$49</f>
        <v>TIOMOS mounting plates</v>
      </c>
      <c r="Q71" s="23">
        <v>1</v>
      </c>
      <c r="R71" s="23">
        <v>0</v>
      </c>
      <c r="S71" s="2">
        <v>0</v>
      </c>
      <c r="T71" s="2">
        <v>0</v>
      </c>
      <c r="U71" s="2">
        <v>0</v>
      </c>
      <c r="V71" s="2">
        <v>1</v>
      </c>
      <c r="W71" s="2">
        <v>0</v>
      </c>
      <c r="X71">
        <v>0</v>
      </c>
      <c r="Y71">
        <v>1</v>
      </c>
      <c r="Z71">
        <v>3.5</v>
      </c>
      <c r="AA71" s="15" t="s">
        <v>856</v>
      </c>
    </row>
    <row r="72" spans="1:27" ht="13.5" customHeight="1" x14ac:dyDescent="0.25">
      <c r="A72" s="34" t="str">
        <f t="shared" si="6"/>
        <v>F058</v>
      </c>
      <c r="B72" t="str">
        <f t="shared" si="7"/>
        <v>139</v>
      </c>
      <c r="C72" s="34" t="str">
        <f t="shared" si="8"/>
        <v>861</v>
      </c>
      <c r="D72" s="26">
        <f>IF(select!$H$16=1,Tabelle2[[#This Row],[Kreuz]],IF(select!$H$16=2,Tabelle2[[#This Row],[Linear]],0))</f>
        <v>1</v>
      </c>
      <c r="E7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2" s="26">
        <f>IF(Tabelle2[[#This Row],[37/32]]=1,1,IF(Tabelle2[[#This Row],[28/32]]=1,2,0))</f>
        <v>1</v>
      </c>
      <c r="G72" s="26">
        <f>IF(Tabelle2[[#This Row],[Kreuz/linear]]+Tabelle2[[#This Row],[Befestigung]]=2,1,0)</f>
        <v>0</v>
      </c>
      <c r="H72" s="26">
        <f>IF(Tabelle2[[#This Row],[Randbedingungen]]+IF(Tabelle2[[#This Row],[Höhe]]=select!$B$29,1,0)=2,1,0)</f>
        <v>0</v>
      </c>
      <c r="I72" s="26">
        <f>IF(Tabelle2[[#This Row],[Randbedingungen]]+IF(Tabelle2[[#This Row],[Höhe]]=select!$D$29,1,0)=2,1,0)</f>
        <v>0</v>
      </c>
      <c r="J72" s="26">
        <f>IF(Tabelle2[[#This Row],[Randbedingungen]]+IF(Tabelle2[[#This Row],[Höhe]]=select!$F$29,1,0)=2,1,0)</f>
        <v>0</v>
      </c>
      <c r="K72" s="26">
        <f>IF(Tabelle2[[#This Row],[Randbedingungen]]+IF(Tabelle2[[#This Row],[Höhe]]=select!$H$29,1,0)=2,1,0)</f>
        <v>0</v>
      </c>
      <c r="L7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2" s="43">
        <f ca="1">IF(Tabelle2[[#This Row],[Kröpfung 3]]+Tabelle2[[#This Row],[Kröpfung 0]]+Tabelle2[[#This Row],[Kröpfung 9,5]]+Tabelle2[[#This Row],[Kröpfung 19]]+Tabelle2[[#This Row],[auswahl K]]=2,1,0)</f>
        <v>0</v>
      </c>
      <c r="N72" s="36" t="str">
        <f ca="1">Sprache!$A$46</f>
        <v>ECO Cross mounting plate TIOMOS</v>
      </c>
      <c r="O72" t="s">
        <v>866</v>
      </c>
      <c r="P72" t="str">
        <f ca="1">Sprache!$A$49</f>
        <v>TIOMOS mounting plates</v>
      </c>
      <c r="Q72" s="23">
        <v>1</v>
      </c>
      <c r="R72" s="23">
        <v>0</v>
      </c>
      <c r="S72" s="2">
        <v>0</v>
      </c>
      <c r="T72" s="2">
        <v>0</v>
      </c>
      <c r="U72" s="2">
        <v>0</v>
      </c>
      <c r="V72" s="2">
        <v>0</v>
      </c>
      <c r="W72" s="2">
        <v>1</v>
      </c>
      <c r="X72">
        <v>1</v>
      </c>
      <c r="Y72">
        <v>0</v>
      </c>
      <c r="Z72">
        <v>3.5</v>
      </c>
      <c r="AA72" s="15" t="s">
        <v>865</v>
      </c>
    </row>
    <row r="73" spans="1:27" ht="13.5" customHeight="1" x14ac:dyDescent="0.25">
      <c r="A73" s="34" t="str">
        <f t="shared" si="6"/>
        <v>F058</v>
      </c>
      <c r="B73" t="str">
        <f t="shared" si="7"/>
        <v>139</v>
      </c>
      <c r="C73" s="34" t="str">
        <f t="shared" si="8"/>
        <v>866</v>
      </c>
      <c r="D73" s="26">
        <f>IF(select!$H$16=1,Tabelle2[[#This Row],[Kreuz]],IF(select!$H$16=2,Tabelle2[[#This Row],[Linear]],0))</f>
        <v>1</v>
      </c>
      <c r="E7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3" s="26">
        <f>IF(Tabelle2[[#This Row],[37/32]]=1,1,IF(Tabelle2[[#This Row],[28/32]]=1,2,0))</f>
        <v>1</v>
      </c>
      <c r="G73" s="26">
        <f>IF(Tabelle2[[#This Row],[Kreuz/linear]]+Tabelle2[[#This Row],[Befestigung]]=2,1,0)</f>
        <v>0</v>
      </c>
      <c r="H73" s="26">
        <f>IF(Tabelle2[[#This Row],[Randbedingungen]]+IF(Tabelle2[[#This Row],[Höhe]]=select!$B$29,1,0)=2,1,0)</f>
        <v>0</v>
      </c>
      <c r="I73" s="26">
        <f>IF(Tabelle2[[#This Row],[Randbedingungen]]+IF(Tabelle2[[#This Row],[Höhe]]=select!$D$29,1,0)=2,1,0)</f>
        <v>0</v>
      </c>
      <c r="J73" s="26">
        <f>IF(Tabelle2[[#This Row],[Randbedingungen]]+IF(Tabelle2[[#This Row],[Höhe]]=select!$F$29,1,0)=2,1,0)</f>
        <v>0</v>
      </c>
      <c r="K73" s="26">
        <f>IF(Tabelle2[[#This Row],[Randbedingungen]]+IF(Tabelle2[[#This Row],[Höhe]]=select!$H$29,1,0)=2,1,0)</f>
        <v>0</v>
      </c>
      <c r="L7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3" s="43">
        <f ca="1">IF(Tabelle2[[#This Row],[Kröpfung 3]]+Tabelle2[[#This Row],[Kröpfung 0]]+Tabelle2[[#This Row],[Kröpfung 9,5]]+Tabelle2[[#This Row],[Kröpfung 19]]+Tabelle2[[#This Row],[auswahl K]]=2,1,0)</f>
        <v>0</v>
      </c>
      <c r="N73" s="36" t="str">
        <f ca="1">Sprache!$A$45</f>
        <v>1D Cross mounting plate TIOMOS</v>
      </c>
      <c r="O73" t="str">
        <f ca="1">"H 35, "&amp;Sprache!A51&amp;", ni /37"</f>
        <v>H 35, prem. short Euro screws, ni /37</v>
      </c>
      <c r="P73" t="str">
        <f ca="1">Sprache!$A$49</f>
        <v>TIOMOS mounting plates</v>
      </c>
      <c r="Q73" s="23">
        <v>1</v>
      </c>
      <c r="R73" s="23">
        <v>0</v>
      </c>
      <c r="S73" s="2">
        <v>0</v>
      </c>
      <c r="T73" s="2">
        <v>0</v>
      </c>
      <c r="U73" s="2">
        <v>0</v>
      </c>
      <c r="V73" s="2">
        <v>0</v>
      </c>
      <c r="W73" s="2">
        <v>1</v>
      </c>
      <c r="X73">
        <v>1</v>
      </c>
      <c r="Y73">
        <v>0</v>
      </c>
      <c r="Z73">
        <v>3.5</v>
      </c>
      <c r="AA73" s="15" t="s">
        <v>870</v>
      </c>
    </row>
    <row r="74" spans="1:27" ht="13.5" customHeight="1" x14ac:dyDescent="0.25">
      <c r="A74" s="34" t="str">
        <f t="shared" si="6"/>
        <v>F059</v>
      </c>
      <c r="B74" t="str">
        <f t="shared" si="7"/>
        <v>139</v>
      </c>
      <c r="C74" s="34" t="str">
        <f t="shared" si="8"/>
        <v>704</v>
      </c>
      <c r="D74" s="26">
        <f>IF(select!$H$16=1,Tabelle2[[#This Row],[Kreuz]],IF(select!$H$16=2,Tabelle2[[#This Row],[Linear]],0))</f>
        <v>0</v>
      </c>
      <c r="E7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4" s="26">
        <f>IF(Tabelle2[[#This Row],[37/32]]=1,1,IF(Tabelle2[[#This Row],[28/32]]=1,2,0))</f>
        <v>0</v>
      </c>
      <c r="G74" s="26">
        <f>IF(Tabelle2[[#This Row],[Kreuz/linear]]+Tabelle2[[#This Row],[Befestigung]]=2,1,0)</f>
        <v>0</v>
      </c>
      <c r="H74" s="26">
        <f>IF(Tabelle2[[#This Row],[Randbedingungen]]+IF(Tabelle2[[#This Row],[Höhe]]=select!$B$29,1,0)=2,1,0)</f>
        <v>0</v>
      </c>
      <c r="I74" s="26">
        <f>IF(Tabelle2[[#This Row],[Randbedingungen]]+IF(Tabelle2[[#This Row],[Höhe]]=select!$D$29,1,0)=2,1,0)</f>
        <v>0</v>
      </c>
      <c r="J74" s="26">
        <f>IF(Tabelle2[[#This Row],[Randbedingungen]]+IF(Tabelle2[[#This Row],[Höhe]]=select!$F$29,1,0)=2,1,0)</f>
        <v>0</v>
      </c>
      <c r="K74" s="26">
        <f>IF(Tabelle2[[#This Row],[Randbedingungen]]+IF(Tabelle2[[#This Row],[Höhe]]=select!$H$29,1,0)=2,1,0)</f>
        <v>0</v>
      </c>
      <c r="L7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4" s="43">
        <f ca="1">IF(Tabelle2[[#This Row],[Kröpfung 3]]+Tabelle2[[#This Row],[Kröpfung 0]]+Tabelle2[[#This Row],[Kröpfung 9,5]]+Tabelle2[[#This Row],[Kröpfung 19]]+Tabelle2[[#This Row],[auswahl K]]=2,1,0)</f>
        <v>0</v>
      </c>
      <c r="N74" s="36" t="str">
        <f ca="1">Sprache!$A$47</f>
        <v>1D linear mounting plate TIOMOS</v>
      </c>
      <c r="O74" t="s">
        <v>910</v>
      </c>
      <c r="P74" t="str">
        <f ca="1">Sprache!$A$49</f>
        <v>TIOMOS mounting plates</v>
      </c>
      <c r="Q74" s="23">
        <v>0</v>
      </c>
      <c r="R74" s="23">
        <v>1</v>
      </c>
      <c r="S74" s="2">
        <v>0</v>
      </c>
      <c r="T74" s="2">
        <v>1</v>
      </c>
      <c r="U74" s="2">
        <v>1</v>
      </c>
      <c r="V74" s="2">
        <v>0</v>
      </c>
      <c r="W74" s="2">
        <v>0</v>
      </c>
      <c r="Z74">
        <v>3.5</v>
      </c>
      <c r="AA74" s="15" t="s">
        <v>909</v>
      </c>
    </row>
    <row r="75" spans="1:27" ht="13.5" customHeight="1" x14ac:dyDescent="0.25">
      <c r="A75" s="34" t="str">
        <f t="shared" si="6"/>
        <v>F059</v>
      </c>
      <c r="B75" t="str">
        <f t="shared" si="7"/>
        <v>139</v>
      </c>
      <c r="C75" s="34" t="str">
        <f t="shared" si="8"/>
        <v>709</v>
      </c>
      <c r="D75" s="26">
        <f>IF(select!$H$16=1,Tabelle2[[#This Row],[Kreuz]],IF(select!$H$16=2,Tabelle2[[#This Row],[Linear]],0))</f>
        <v>0</v>
      </c>
      <c r="E7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5" s="26">
        <f>IF(Tabelle2[[#This Row],[37/32]]=1,1,IF(Tabelle2[[#This Row],[28/32]]=1,2,0))</f>
        <v>0</v>
      </c>
      <c r="G75" s="26">
        <f>IF(Tabelle2[[#This Row],[Kreuz/linear]]+Tabelle2[[#This Row],[Befestigung]]=2,1,0)</f>
        <v>0</v>
      </c>
      <c r="H75" s="26">
        <f>IF(Tabelle2[[#This Row],[Randbedingungen]]+IF(Tabelle2[[#This Row],[Höhe]]=select!$B$29,1,0)=2,1,0)</f>
        <v>0</v>
      </c>
      <c r="I75" s="26">
        <f>IF(Tabelle2[[#This Row],[Randbedingungen]]+IF(Tabelle2[[#This Row],[Höhe]]=select!$D$29,1,0)=2,1,0)</f>
        <v>0</v>
      </c>
      <c r="J75" s="26">
        <f>IF(Tabelle2[[#This Row],[Randbedingungen]]+IF(Tabelle2[[#This Row],[Höhe]]=select!$F$29,1,0)=2,1,0)</f>
        <v>0</v>
      </c>
      <c r="K75" s="26">
        <f>IF(Tabelle2[[#This Row],[Randbedingungen]]+IF(Tabelle2[[#This Row],[Höhe]]=select!$H$29,1,0)=2,1,0)</f>
        <v>0</v>
      </c>
      <c r="L7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5" s="43">
        <f ca="1">IF(Tabelle2[[#This Row],[Kröpfung 3]]+Tabelle2[[#This Row],[Kröpfung 0]]+Tabelle2[[#This Row],[Kröpfung 9,5]]+Tabelle2[[#This Row],[Kröpfung 19]]+Tabelle2[[#This Row],[auswahl K]]=2,1,0)</f>
        <v>0</v>
      </c>
      <c r="N75" s="36" t="str">
        <f ca="1">Sprache!$A$47</f>
        <v>1D linear mounting plate TIOMOS</v>
      </c>
      <c r="O75" t="s">
        <v>918</v>
      </c>
      <c r="P75" t="str">
        <f ca="1">Sprache!$A$49</f>
        <v>TIOMOS mounting plates</v>
      </c>
      <c r="Q75" s="23">
        <v>0</v>
      </c>
      <c r="R75" s="23">
        <v>1</v>
      </c>
      <c r="S75" s="2">
        <v>1</v>
      </c>
      <c r="T75" s="2">
        <v>0</v>
      </c>
      <c r="U75" s="2">
        <v>0</v>
      </c>
      <c r="V75" s="2">
        <v>0</v>
      </c>
      <c r="W75" s="2">
        <v>0</v>
      </c>
      <c r="Z75">
        <v>3.5</v>
      </c>
      <c r="AA75" s="15" t="s">
        <v>917</v>
      </c>
    </row>
    <row r="76" spans="1:27" ht="13.5" customHeight="1" x14ac:dyDescent="0.25">
      <c r="A76" s="34" t="str">
        <f t="shared" si="6"/>
        <v>F059</v>
      </c>
      <c r="B76" t="str">
        <f t="shared" si="7"/>
        <v>139</v>
      </c>
      <c r="C76" s="34" t="str">
        <f t="shared" si="8"/>
        <v>714</v>
      </c>
      <c r="D76" s="26">
        <f>IF(select!$H$16=1,Tabelle2[[#This Row],[Kreuz]],IF(select!$H$16=2,Tabelle2[[#This Row],[Linear]],0))</f>
        <v>0</v>
      </c>
      <c r="E7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6" s="26">
        <f>IF(Tabelle2[[#This Row],[37/32]]=1,1,IF(Tabelle2[[#This Row],[28/32]]=1,2,0))</f>
        <v>0</v>
      </c>
      <c r="G76" s="26">
        <f>IF(Tabelle2[[#This Row],[Kreuz/linear]]+Tabelle2[[#This Row],[Befestigung]]=2,1,0)</f>
        <v>0</v>
      </c>
      <c r="H76" s="26">
        <f>IF(Tabelle2[[#This Row],[Randbedingungen]]+IF(Tabelle2[[#This Row],[Höhe]]=select!$B$29,1,0)=2,1,0)</f>
        <v>0</v>
      </c>
      <c r="I76" s="26">
        <f>IF(Tabelle2[[#This Row],[Randbedingungen]]+IF(Tabelle2[[#This Row],[Höhe]]=select!$D$29,1,0)=2,1,0)</f>
        <v>0</v>
      </c>
      <c r="J76" s="26">
        <f>IF(Tabelle2[[#This Row],[Randbedingungen]]+IF(Tabelle2[[#This Row],[Höhe]]=select!$F$29,1,0)=2,1,0)</f>
        <v>0</v>
      </c>
      <c r="K76" s="26">
        <f>IF(Tabelle2[[#This Row],[Randbedingungen]]+IF(Tabelle2[[#This Row],[Höhe]]=select!$H$29,1,0)=2,1,0)</f>
        <v>0</v>
      </c>
      <c r="L7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6" s="43">
        <f ca="1">IF(Tabelle2[[#This Row],[Kröpfung 3]]+Tabelle2[[#This Row],[Kröpfung 0]]+Tabelle2[[#This Row],[Kröpfung 9,5]]+Tabelle2[[#This Row],[Kröpfung 19]]+Tabelle2[[#This Row],[auswahl K]]=2,1,0)</f>
        <v>0</v>
      </c>
      <c r="N76" s="36" t="str">
        <f ca="1">Sprache!$A$47</f>
        <v>1D linear mounting plate TIOMOS</v>
      </c>
      <c r="O76" t="str">
        <f ca="1">"H 35, "&amp;Sprache!A50&amp;", ni"</f>
        <v>H 35, prem. Euro screws, ni</v>
      </c>
      <c r="P76" t="str">
        <f ca="1">Sprache!$A$49</f>
        <v>TIOMOS mounting plates</v>
      </c>
      <c r="Q76" s="23">
        <v>0</v>
      </c>
      <c r="R76" s="23">
        <v>1</v>
      </c>
      <c r="S76" s="2">
        <v>0</v>
      </c>
      <c r="T76" s="2">
        <v>0</v>
      </c>
      <c r="U76" s="2">
        <v>0</v>
      </c>
      <c r="V76" s="2">
        <v>1</v>
      </c>
      <c r="W76" s="2">
        <v>0</v>
      </c>
      <c r="Z76">
        <v>3.5</v>
      </c>
      <c r="AA76" s="15" t="s">
        <v>922</v>
      </c>
    </row>
    <row r="77" spans="1:27" ht="13.5" customHeight="1" x14ac:dyDescent="0.25">
      <c r="A77" s="34" t="str">
        <f t="shared" si="6"/>
        <v>F058</v>
      </c>
      <c r="B77" t="str">
        <f t="shared" si="7"/>
        <v>139</v>
      </c>
      <c r="C77" s="34" t="str">
        <f t="shared" si="8"/>
        <v>873</v>
      </c>
      <c r="D77" s="26">
        <f>IF(select!$H$16=1,Tabelle2[[#This Row],[Kreuz]],IF(select!$H$16=2,Tabelle2[[#This Row],[Linear]],0))</f>
        <v>1</v>
      </c>
      <c r="E7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7" s="26">
        <f>IF(Tabelle2[[#This Row],[37/32]]=1,1,IF(Tabelle2[[#This Row],[28/32]]=1,2,0))</f>
        <v>1</v>
      </c>
      <c r="G77" s="26">
        <f>IF(Tabelle2[[#This Row],[Kreuz/linear]]+Tabelle2[[#This Row],[Befestigung]]=2,1,0)</f>
        <v>0</v>
      </c>
      <c r="H77" s="26">
        <f>IF(Tabelle2[[#This Row],[Randbedingungen]]+IF(Tabelle2[[#This Row],[Höhe]]=select!$B$29,1,0)=2,1,0)</f>
        <v>0</v>
      </c>
      <c r="I77" s="26">
        <f>IF(Tabelle2[[#This Row],[Randbedingungen]]+IF(Tabelle2[[#This Row],[Höhe]]=select!$D$29,1,0)=2,1,0)</f>
        <v>0</v>
      </c>
      <c r="J77" s="26">
        <f>IF(Tabelle2[[#This Row],[Randbedingungen]]+IF(Tabelle2[[#This Row],[Höhe]]=select!$F$29,1,0)=2,1,0)</f>
        <v>0</v>
      </c>
      <c r="K77" s="26">
        <f>IF(Tabelle2[[#This Row],[Randbedingungen]]+IF(Tabelle2[[#This Row],[Höhe]]=select!$H$29,1,0)=2,1,0)</f>
        <v>0</v>
      </c>
      <c r="L7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7" s="43">
        <f ca="1">IF(Tabelle2[[#This Row],[Kröpfung 3]]+Tabelle2[[#This Row],[Kröpfung 0]]+Tabelle2[[#This Row],[Kröpfung 9,5]]+Tabelle2[[#This Row],[Kröpfung 19]]+Tabelle2[[#This Row],[auswahl K]]=2,1,0)</f>
        <v>0</v>
      </c>
      <c r="N77" s="36" t="str">
        <f ca="1">Sprache!$A$45</f>
        <v>1D Cross mounting plate TIOMOS</v>
      </c>
      <c r="O77" t="str">
        <f ca="1">"H 06, "&amp;Sprache!A50&amp;", ni /37"</f>
        <v>H 06, prem. Euro screws, ni /37</v>
      </c>
      <c r="P77" t="str">
        <f ca="1">Sprache!$A$49</f>
        <v>TIOMOS mounting plates</v>
      </c>
      <c r="Q77" s="23">
        <v>1</v>
      </c>
      <c r="R77" s="23">
        <v>0</v>
      </c>
      <c r="S77" s="2">
        <v>0</v>
      </c>
      <c r="T77" s="2">
        <v>0</v>
      </c>
      <c r="U77" s="2">
        <v>0</v>
      </c>
      <c r="V77" s="2">
        <v>1</v>
      </c>
      <c r="W77" s="2">
        <v>0</v>
      </c>
      <c r="X77">
        <v>1</v>
      </c>
      <c r="Y77">
        <v>0</v>
      </c>
      <c r="Z77">
        <v>6</v>
      </c>
      <c r="AA77" s="15" t="s">
        <v>871</v>
      </c>
    </row>
    <row r="78" spans="1:27" ht="13.5" customHeight="1" x14ac:dyDescent="0.25">
      <c r="A78" s="34" t="str">
        <f t="shared" si="6"/>
        <v>F058</v>
      </c>
      <c r="B78" t="str">
        <f t="shared" si="7"/>
        <v>139</v>
      </c>
      <c r="C78" s="34" t="str">
        <f t="shared" si="8"/>
        <v>892</v>
      </c>
      <c r="D78" s="26">
        <f>IF(select!$H$16=1,Tabelle2[[#This Row],[Kreuz]],IF(select!$H$16=2,Tabelle2[[#This Row],[Linear]],0))</f>
        <v>1</v>
      </c>
      <c r="E7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8" s="26">
        <f>IF(Tabelle2[[#This Row],[37/32]]=1,1,IF(Tabelle2[[#This Row],[28/32]]=1,2,0))</f>
        <v>1</v>
      </c>
      <c r="G78" s="26">
        <f>IF(Tabelle2[[#This Row],[Kreuz/linear]]+Tabelle2[[#This Row],[Befestigung]]=2,1,0)</f>
        <v>0</v>
      </c>
      <c r="H78" s="26">
        <f>IF(Tabelle2[[#This Row],[Randbedingungen]]+IF(Tabelle2[[#This Row],[Höhe]]=select!$B$29,1,0)=2,1,0)</f>
        <v>0</v>
      </c>
      <c r="I78" s="26">
        <f>IF(Tabelle2[[#This Row],[Randbedingungen]]+IF(Tabelle2[[#This Row],[Höhe]]=select!$D$29,1,0)=2,1,0)</f>
        <v>0</v>
      </c>
      <c r="J78" s="26">
        <f>IF(Tabelle2[[#This Row],[Randbedingungen]]+IF(Tabelle2[[#This Row],[Höhe]]=select!$F$29,1,0)=2,1,0)</f>
        <v>0</v>
      </c>
      <c r="K78" s="26">
        <f>IF(Tabelle2[[#This Row],[Randbedingungen]]+IF(Tabelle2[[#This Row],[Höhe]]=select!$H$29,1,0)=2,1,0)</f>
        <v>0</v>
      </c>
      <c r="L7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8" s="43">
        <f ca="1">IF(Tabelle2[[#This Row],[Kröpfung 3]]+Tabelle2[[#This Row],[Kröpfung 0]]+Tabelle2[[#This Row],[Kröpfung 9,5]]+Tabelle2[[#This Row],[Kröpfung 19]]+Tabelle2[[#This Row],[auswahl K]]=2,1,0)</f>
        <v>0</v>
      </c>
      <c r="N78" s="36" t="str">
        <f ca="1">Sprache!$A$45</f>
        <v>1D Cross mounting plate TIOMOS</v>
      </c>
      <c r="O78" t="s">
        <v>894</v>
      </c>
      <c r="P78" t="str">
        <f ca="1">Sprache!$A$49</f>
        <v>TIOMOS mounting plates</v>
      </c>
      <c r="Q78" s="23">
        <v>1</v>
      </c>
      <c r="R78" s="23">
        <v>0</v>
      </c>
      <c r="S78" s="2">
        <v>0</v>
      </c>
      <c r="T78" s="2">
        <v>1</v>
      </c>
      <c r="U78" s="2">
        <v>0</v>
      </c>
      <c r="V78" s="2">
        <v>0</v>
      </c>
      <c r="W78" s="2">
        <v>0</v>
      </c>
      <c r="X78">
        <v>1</v>
      </c>
      <c r="Y78">
        <v>0</v>
      </c>
      <c r="Z78">
        <v>6</v>
      </c>
      <c r="AA78" s="15" t="s">
        <v>893</v>
      </c>
    </row>
    <row r="79" spans="1:27" ht="13.5" customHeight="1" x14ac:dyDescent="0.25">
      <c r="A79" s="34" t="str">
        <f t="shared" si="6"/>
        <v>F058</v>
      </c>
      <c r="B79" t="str">
        <f t="shared" si="7"/>
        <v>139</v>
      </c>
      <c r="C79" s="34" t="str">
        <f t="shared" si="8"/>
        <v>880</v>
      </c>
      <c r="D79" s="26">
        <f>IF(select!$H$16=1,Tabelle2[[#This Row],[Kreuz]],IF(select!$H$16=2,Tabelle2[[#This Row],[Linear]],0))</f>
        <v>1</v>
      </c>
      <c r="E7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79" s="26">
        <f>IF(Tabelle2[[#This Row],[37/32]]=1,1,IF(Tabelle2[[#This Row],[28/32]]=1,2,0))</f>
        <v>1</v>
      </c>
      <c r="G79" s="26">
        <f>IF(Tabelle2[[#This Row],[Kreuz/linear]]+Tabelle2[[#This Row],[Befestigung]]=2,1,0)</f>
        <v>0</v>
      </c>
      <c r="H79" s="26">
        <f>IF(Tabelle2[[#This Row],[Randbedingungen]]+IF(Tabelle2[[#This Row],[Höhe]]=select!$B$29,1,0)=2,1,0)</f>
        <v>0</v>
      </c>
      <c r="I79" s="26">
        <f>IF(Tabelle2[[#This Row],[Randbedingungen]]+IF(Tabelle2[[#This Row],[Höhe]]=select!$D$29,1,0)=2,1,0)</f>
        <v>0</v>
      </c>
      <c r="J79" s="26">
        <f>IF(Tabelle2[[#This Row],[Randbedingungen]]+IF(Tabelle2[[#This Row],[Höhe]]=select!$F$29,1,0)=2,1,0)</f>
        <v>0</v>
      </c>
      <c r="K79" s="26">
        <f>IF(Tabelle2[[#This Row],[Randbedingungen]]+IF(Tabelle2[[#This Row],[Höhe]]=select!$H$29,1,0)=2,1,0)</f>
        <v>0</v>
      </c>
      <c r="L7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79" s="43">
        <f ca="1">IF(Tabelle2[[#This Row],[Kröpfung 3]]+Tabelle2[[#This Row],[Kröpfung 0]]+Tabelle2[[#This Row],[Kröpfung 9,5]]+Tabelle2[[#This Row],[Kröpfung 19]]+Tabelle2[[#This Row],[auswahl K]]=2,1,0)</f>
        <v>0</v>
      </c>
      <c r="N79" s="36" t="str">
        <f ca="1">Sprache!$A$45</f>
        <v>1D Cross mounting plate TIOMOS</v>
      </c>
      <c r="O79" t="str">
        <f ca="1">"H 08, "&amp;Sprache!A50&amp;", ni /37"</f>
        <v>H 08, prem. Euro screws, ni /37</v>
      </c>
      <c r="P79" t="str">
        <f ca="1">Sprache!$A$49</f>
        <v>TIOMOS mounting plates</v>
      </c>
      <c r="Q79" s="23">
        <v>1</v>
      </c>
      <c r="R79" s="23">
        <v>0</v>
      </c>
      <c r="S79" s="2">
        <v>0</v>
      </c>
      <c r="T79" s="2">
        <v>0</v>
      </c>
      <c r="U79" s="2">
        <v>0</v>
      </c>
      <c r="V79" s="2">
        <v>1</v>
      </c>
      <c r="W79" s="2">
        <v>0</v>
      </c>
      <c r="X79">
        <v>1</v>
      </c>
      <c r="Y79">
        <v>0</v>
      </c>
      <c r="Z79">
        <v>8</v>
      </c>
      <c r="AA79" s="15" t="s">
        <v>875</v>
      </c>
    </row>
    <row r="80" spans="1:27" ht="13.5" customHeight="1" x14ac:dyDescent="0.25">
      <c r="A80" s="34" t="str">
        <f t="shared" si="6"/>
        <v>F058</v>
      </c>
      <c r="B80" t="str">
        <f t="shared" si="7"/>
        <v>139</v>
      </c>
      <c r="C80" s="34" t="str">
        <f t="shared" si="8"/>
        <v>886</v>
      </c>
      <c r="D80" s="26">
        <f>IF(select!$H$16=1,Tabelle2[[#This Row],[Kreuz]],IF(select!$H$16=2,Tabelle2[[#This Row],[Linear]],0))</f>
        <v>1</v>
      </c>
      <c r="E8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0" s="26">
        <f>IF(Tabelle2[[#This Row],[37/32]]=1,1,IF(Tabelle2[[#This Row],[28/32]]=1,2,0))</f>
        <v>1</v>
      </c>
      <c r="G80" s="26">
        <f>IF(Tabelle2[[#This Row],[Kreuz/linear]]+Tabelle2[[#This Row],[Befestigung]]=2,1,0)</f>
        <v>0</v>
      </c>
      <c r="H80" s="26">
        <f>IF(Tabelle2[[#This Row],[Randbedingungen]]+IF(Tabelle2[[#This Row],[Höhe]]=select!$B$29,1,0)=2,1,0)</f>
        <v>0</v>
      </c>
      <c r="I80" s="26">
        <f>IF(Tabelle2[[#This Row],[Randbedingungen]]+IF(Tabelle2[[#This Row],[Höhe]]=select!$D$29,1,0)=2,1,0)</f>
        <v>0</v>
      </c>
      <c r="J80" s="26">
        <f>IF(Tabelle2[[#This Row],[Randbedingungen]]+IF(Tabelle2[[#This Row],[Höhe]]=select!$F$29,1,0)=2,1,0)</f>
        <v>0</v>
      </c>
      <c r="K80" s="26">
        <f>IF(Tabelle2[[#This Row],[Randbedingungen]]+IF(Tabelle2[[#This Row],[Höhe]]=select!$H$29,1,0)=2,1,0)</f>
        <v>0</v>
      </c>
      <c r="L8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0" s="43">
        <f ca="1">IF(Tabelle2[[#This Row],[Kröpfung 3]]+Tabelle2[[#This Row],[Kröpfung 0]]+Tabelle2[[#This Row],[Kröpfung 9,5]]+Tabelle2[[#This Row],[Kröpfung 19]]+Tabelle2[[#This Row],[auswahl K]]=2,1,0)</f>
        <v>0</v>
      </c>
      <c r="N80" s="36" t="str">
        <f ca="1">Sprache!$A$45</f>
        <v>1D Cross mounting plate TIOMOS</v>
      </c>
      <c r="O80" t="s">
        <v>882</v>
      </c>
      <c r="P80" t="str">
        <f ca="1">Sprache!$A$49</f>
        <v>TIOMOS mounting plates</v>
      </c>
      <c r="Q80" s="23">
        <v>1</v>
      </c>
      <c r="R80" s="23">
        <v>0</v>
      </c>
      <c r="S80" s="2">
        <v>0</v>
      </c>
      <c r="T80" s="2">
        <v>1</v>
      </c>
      <c r="U80" s="2">
        <v>0</v>
      </c>
      <c r="V80" s="2">
        <v>0</v>
      </c>
      <c r="W80" s="2">
        <v>0</v>
      </c>
      <c r="X80">
        <v>1</v>
      </c>
      <c r="Y80">
        <v>0</v>
      </c>
      <c r="Z80">
        <v>8</v>
      </c>
      <c r="AA80" s="15" t="s">
        <v>881</v>
      </c>
    </row>
    <row r="81" spans="1:27" ht="13.5" customHeight="1" x14ac:dyDescent="0.25">
      <c r="A81" s="34" t="str">
        <f t="shared" si="6"/>
        <v>F058</v>
      </c>
      <c r="B81" t="str">
        <f t="shared" si="7"/>
        <v>139</v>
      </c>
      <c r="C81" s="34" t="str">
        <f t="shared" si="8"/>
        <v>881</v>
      </c>
      <c r="D81" s="26">
        <f>IF(select!$H$16=1,Tabelle2[[#This Row],[Kreuz]],IF(select!$H$16=2,Tabelle2[[#This Row],[Linear]],0))</f>
        <v>1</v>
      </c>
      <c r="E8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1" s="26">
        <f>IF(Tabelle2[[#This Row],[37/32]]=1,1,IF(Tabelle2[[#This Row],[28/32]]=1,2,0))</f>
        <v>1</v>
      </c>
      <c r="G81" s="26">
        <f>IF(Tabelle2[[#This Row],[Kreuz/linear]]+Tabelle2[[#This Row],[Befestigung]]=2,1,0)</f>
        <v>0</v>
      </c>
      <c r="H81" s="26">
        <f>IF(Tabelle2[[#This Row],[Randbedingungen]]+IF(Tabelle2[[#This Row],[Höhe]]=select!$B$29,1,0)=2,1,0)</f>
        <v>0</v>
      </c>
      <c r="I81" s="26">
        <f>IF(Tabelle2[[#This Row],[Randbedingungen]]+IF(Tabelle2[[#This Row],[Höhe]]=select!$D$29,1,0)=2,1,0)</f>
        <v>0</v>
      </c>
      <c r="J81" s="26">
        <f>IF(Tabelle2[[#This Row],[Randbedingungen]]+IF(Tabelle2[[#This Row],[Höhe]]=select!$F$29,1,0)=2,1,0)</f>
        <v>0</v>
      </c>
      <c r="K81" s="26">
        <f>IF(Tabelle2[[#This Row],[Randbedingungen]]+IF(Tabelle2[[#This Row],[Höhe]]=select!$H$29,1,0)=2,1,0)</f>
        <v>0</v>
      </c>
      <c r="L8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1" s="43">
        <f ca="1">IF(Tabelle2[[#This Row],[Kröpfung 3]]+Tabelle2[[#This Row],[Kröpfung 0]]+Tabelle2[[#This Row],[Kröpfung 9,5]]+Tabelle2[[#This Row],[Kröpfung 19]]+Tabelle2[[#This Row],[auswahl K]]=2,1,0)</f>
        <v>0</v>
      </c>
      <c r="N81" s="36" t="str">
        <f ca="1">Sprache!$A$45</f>
        <v>1D Cross mounting plate TIOMOS</v>
      </c>
      <c r="O81" t="str">
        <f ca="1">"H 09, "&amp;Sprache!A50&amp;", ni /37"</f>
        <v>H 09, prem. Euro screws, ni /37</v>
      </c>
      <c r="P81" t="str">
        <f ca="1">Sprache!$A$49</f>
        <v>TIOMOS mounting plates</v>
      </c>
      <c r="Q81" s="23">
        <v>1</v>
      </c>
      <c r="R81" s="23">
        <v>0</v>
      </c>
      <c r="S81" s="2">
        <v>0</v>
      </c>
      <c r="T81" s="2">
        <v>0</v>
      </c>
      <c r="U81" s="2">
        <v>0</v>
      </c>
      <c r="V81" s="2">
        <v>1</v>
      </c>
      <c r="W81" s="2">
        <v>0</v>
      </c>
      <c r="X81">
        <v>1</v>
      </c>
      <c r="Y81">
        <v>0</v>
      </c>
      <c r="Z81">
        <v>9</v>
      </c>
      <c r="AA81" s="15" t="s">
        <v>876</v>
      </c>
    </row>
    <row r="82" spans="1:27" ht="13.5" customHeight="1" x14ac:dyDescent="0.25">
      <c r="A82" s="34" t="str">
        <f t="shared" si="6"/>
        <v>F058</v>
      </c>
      <c r="B82" t="str">
        <f t="shared" si="7"/>
        <v>139</v>
      </c>
      <c r="C82" s="34" t="str">
        <f t="shared" si="8"/>
        <v>887</v>
      </c>
      <c r="D82" s="26">
        <f>IF(select!$H$16=1,Tabelle2[[#This Row],[Kreuz]],IF(select!$H$16=2,Tabelle2[[#This Row],[Linear]],0))</f>
        <v>1</v>
      </c>
      <c r="E8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2" s="26">
        <f>IF(Tabelle2[[#This Row],[37/32]]=1,1,IF(Tabelle2[[#This Row],[28/32]]=1,2,0))</f>
        <v>1</v>
      </c>
      <c r="G82" s="26">
        <f>IF(Tabelle2[[#This Row],[Kreuz/linear]]+Tabelle2[[#This Row],[Befestigung]]=2,1,0)</f>
        <v>0</v>
      </c>
      <c r="H82" s="26">
        <f>IF(Tabelle2[[#This Row],[Randbedingungen]]+IF(Tabelle2[[#This Row],[Höhe]]=select!$B$29,1,0)=2,1,0)</f>
        <v>0</v>
      </c>
      <c r="I82" s="26">
        <f>IF(Tabelle2[[#This Row],[Randbedingungen]]+IF(Tabelle2[[#This Row],[Höhe]]=select!$D$29,1,0)=2,1,0)</f>
        <v>0</v>
      </c>
      <c r="J82" s="26">
        <f>IF(Tabelle2[[#This Row],[Randbedingungen]]+IF(Tabelle2[[#This Row],[Höhe]]=select!$F$29,1,0)=2,1,0)</f>
        <v>0</v>
      </c>
      <c r="K82" s="26">
        <f>IF(Tabelle2[[#This Row],[Randbedingungen]]+IF(Tabelle2[[#This Row],[Höhe]]=select!$H$29,1,0)=2,1,0)</f>
        <v>0</v>
      </c>
      <c r="L8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2" s="43">
        <f ca="1">IF(Tabelle2[[#This Row],[Kröpfung 3]]+Tabelle2[[#This Row],[Kröpfung 0]]+Tabelle2[[#This Row],[Kröpfung 9,5]]+Tabelle2[[#This Row],[Kröpfung 19]]+Tabelle2[[#This Row],[auswahl K]]=2,1,0)</f>
        <v>0</v>
      </c>
      <c r="N82" s="36" t="str">
        <f ca="1">Sprache!$A$45</f>
        <v>1D Cross mounting plate TIOMOS</v>
      </c>
      <c r="O82" t="s">
        <v>884</v>
      </c>
      <c r="P82" t="str">
        <f ca="1">Sprache!$A$49</f>
        <v>TIOMOS mounting plates</v>
      </c>
      <c r="Q82" s="23">
        <v>1</v>
      </c>
      <c r="R82" s="23">
        <v>0</v>
      </c>
      <c r="S82" s="2">
        <v>0</v>
      </c>
      <c r="T82" s="2">
        <v>1</v>
      </c>
      <c r="U82" s="2">
        <v>0</v>
      </c>
      <c r="V82" s="2">
        <v>0</v>
      </c>
      <c r="W82" s="2">
        <v>0</v>
      </c>
      <c r="X82">
        <v>1</v>
      </c>
      <c r="Y82">
        <v>0</v>
      </c>
      <c r="Z82">
        <v>9</v>
      </c>
      <c r="AA82" s="15" t="s">
        <v>883</v>
      </c>
    </row>
    <row r="83" spans="1:27" ht="13.5" customHeight="1" x14ac:dyDescent="0.25">
      <c r="A83" s="34" t="str">
        <f t="shared" si="6"/>
        <v>F058</v>
      </c>
      <c r="B83" t="str">
        <f t="shared" si="7"/>
        <v>139</v>
      </c>
      <c r="C83" s="34" t="str">
        <f t="shared" si="8"/>
        <v>879</v>
      </c>
      <c r="D83" s="26">
        <f>IF(select!$H$16=1,Tabelle2[[#This Row],[Kreuz]],IF(select!$H$16=2,Tabelle2[[#This Row],[Linear]],0))</f>
        <v>1</v>
      </c>
      <c r="E8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3" s="26">
        <f>IF(Tabelle2[[#This Row],[37/32]]=1,1,IF(Tabelle2[[#This Row],[28/32]]=1,2,0))</f>
        <v>1</v>
      </c>
      <c r="G83" s="26">
        <f>IF(Tabelle2[[#This Row],[Kreuz/linear]]+Tabelle2[[#This Row],[Befestigung]]=2,1,0)</f>
        <v>0</v>
      </c>
      <c r="H83" s="26">
        <f>IF(Tabelle2[[#This Row],[Randbedingungen]]+IF(Tabelle2[[#This Row],[Höhe]]=select!$B$29,1,0)=2,1,0)</f>
        <v>0</v>
      </c>
      <c r="I83" s="26">
        <f>IF(Tabelle2[[#This Row],[Randbedingungen]]+IF(Tabelle2[[#This Row],[Höhe]]=select!$D$29,1,0)=2,1,0)</f>
        <v>0</v>
      </c>
      <c r="J83" s="26">
        <f>IF(Tabelle2[[#This Row],[Randbedingungen]]+IF(Tabelle2[[#This Row],[Höhe]]=select!$F$29,1,0)=2,1,0)</f>
        <v>0</v>
      </c>
      <c r="K83" s="26">
        <f>IF(Tabelle2[[#This Row],[Randbedingungen]]+IF(Tabelle2[[#This Row],[Höhe]]=select!$H$29,1,0)=2,1,0)</f>
        <v>0</v>
      </c>
      <c r="L8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3" s="43">
        <f ca="1">IF(Tabelle2[[#This Row],[Kröpfung 3]]+Tabelle2[[#This Row],[Kröpfung 0]]+Tabelle2[[#This Row],[Kröpfung 9,5]]+Tabelle2[[#This Row],[Kröpfung 19]]+Tabelle2[[#This Row],[auswahl K]]=2,1,0)</f>
        <v>0</v>
      </c>
      <c r="N83" s="36" t="str">
        <f ca="1">Sprache!$A$45</f>
        <v>1D Cross mounting plate TIOMOS</v>
      </c>
      <c r="O83" t="str">
        <f ca="1">"H 95, "&amp;Sprache!A50&amp;", ni /37"</f>
        <v>H 95, prem. Euro screws, ni /37</v>
      </c>
      <c r="P83" t="str">
        <f ca="1">Sprache!$A$49</f>
        <v>TIOMOS mounting plates</v>
      </c>
      <c r="Q83" s="23">
        <v>1</v>
      </c>
      <c r="R83" s="23">
        <v>0</v>
      </c>
      <c r="S83" s="2">
        <v>0</v>
      </c>
      <c r="T83" s="2">
        <v>0</v>
      </c>
      <c r="U83" s="2">
        <v>0</v>
      </c>
      <c r="V83" s="2">
        <v>1</v>
      </c>
      <c r="W83" s="2">
        <v>0</v>
      </c>
      <c r="X83">
        <v>1</v>
      </c>
      <c r="Y83">
        <v>0</v>
      </c>
      <c r="Z83">
        <v>9.5</v>
      </c>
      <c r="AA83" s="15" t="s">
        <v>874</v>
      </c>
    </row>
    <row r="84" spans="1:27" ht="13.5" customHeight="1" x14ac:dyDescent="0.25">
      <c r="A84" s="34" t="str">
        <f t="shared" si="6"/>
        <v>F058</v>
      </c>
      <c r="B84" t="str">
        <f t="shared" si="7"/>
        <v>139</v>
      </c>
      <c r="C84" s="34" t="str">
        <f t="shared" si="8"/>
        <v>882</v>
      </c>
      <c r="D84" s="26">
        <f>IF(select!$H$16=1,Tabelle2[[#This Row],[Kreuz]],IF(select!$H$16=2,Tabelle2[[#This Row],[Linear]],0))</f>
        <v>1</v>
      </c>
      <c r="E8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4" s="26">
        <f>IF(Tabelle2[[#This Row],[37/32]]=1,1,IF(Tabelle2[[#This Row],[28/32]]=1,2,0))</f>
        <v>1</v>
      </c>
      <c r="G84" s="26">
        <f>IF(Tabelle2[[#This Row],[Kreuz/linear]]+Tabelle2[[#This Row],[Befestigung]]=2,1,0)</f>
        <v>0</v>
      </c>
      <c r="H84" s="26">
        <f>IF(Tabelle2[[#This Row],[Randbedingungen]]+IF(Tabelle2[[#This Row],[Höhe]]=select!$B$29,1,0)=2,1,0)</f>
        <v>0</v>
      </c>
      <c r="I84" s="26">
        <f>IF(Tabelle2[[#This Row],[Randbedingungen]]+IF(Tabelle2[[#This Row],[Höhe]]=select!$D$29,1,0)=2,1,0)</f>
        <v>0</v>
      </c>
      <c r="J84" s="26">
        <f>IF(Tabelle2[[#This Row],[Randbedingungen]]+IF(Tabelle2[[#This Row],[Höhe]]=select!$F$29,1,0)=2,1,0)</f>
        <v>0</v>
      </c>
      <c r="K84" s="26">
        <f>IF(Tabelle2[[#This Row],[Randbedingungen]]+IF(Tabelle2[[#This Row],[Höhe]]=select!$H$29,1,0)=2,1,0)</f>
        <v>0</v>
      </c>
      <c r="L8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4" s="43">
        <f ca="1">IF(Tabelle2[[#This Row],[Kröpfung 3]]+Tabelle2[[#This Row],[Kröpfung 0]]+Tabelle2[[#This Row],[Kröpfung 9,5]]+Tabelle2[[#This Row],[Kröpfung 19]]+Tabelle2[[#This Row],[auswahl K]]=2,1,0)</f>
        <v>0</v>
      </c>
      <c r="N84" s="36" t="str">
        <f ca="1">Sprache!$A$45</f>
        <v>1D Cross mounting plate TIOMOS</v>
      </c>
      <c r="O84" t="str">
        <f ca="1">"H 95, "&amp;Sprache!A50&amp;", ni /37"</f>
        <v>H 95, prem. Euro screws, ni /37</v>
      </c>
      <c r="P84" t="str">
        <f ca="1">Sprache!$A$49</f>
        <v>TIOMOS mounting plates</v>
      </c>
      <c r="Q84" s="23">
        <v>1</v>
      </c>
      <c r="R84" s="23">
        <v>0</v>
      </c>
      <c r="S84" s="2">
        <v>0</v>
      </c>
      <c r="T84" s="2">
        <v>0</v>
      </c>
      <c r="U84" s="2">
        <v>0</v>
      </c>
      <c r="V84" s="2">
        <v>1</v>
      </c>
      <c r="W84" s="2">
        <v>0</v>
      </c>
      <c r="X84">
        <v>1</v>
      </c>
      <c r="Y84">
        <v>0</v>
      </c>
      <c r="Z84">
        <v>9.5</v>
      </c>
      <c r="AA84" s="15" t="s">
        <v>877</v>
      </c>
    </row>
    <row r="85" spans="1:27" ht="13.5" customHeight="1" x14ac:dyDescent="0.25">
      <c r="A85" s="34" t="str">
        <f t="shared" si="6"/>
        <v>F058</v>
      </c>
      <c r="B85" t="str">
        <f t="shared" si="7"/>
        <v>139</v>
      </c>
      <c r="C85" s="34" t="str">
        <f t="shared" si="8"/>
        <v>888</v>
      </c>
      <c r="D85" s="26">
        <f>IF(select!$H$16=1,Tabelle2[[#This Row],[Kreuz]],IF(select!$H$16=2,Tabelle2[[#This Row],[Linear]],0))</f>
        <v>1</v>
      </c>
      <c r="E8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5" s="26">
        <f>IF(Tabelle2[[#This Row],[37/32]]=1,1,IF(Tabelle2[[#This Row],[28/32]]=1,2,0))</f>
        <v>1</v>
      </c>
      <c r="G85" s="26">
        <f>IF(Tabelle2[[#This Row],[Kreuz/linear]]+Tabelle2[[#This Row],[Befestigung]]=2,1,0)</f>
        <v>0</v>
      </c>
      <c r="H85" s="26">
        <f>IF(Tabelle2[[#This Row],[Randbedingungen]]+IF(Tabelle2[[#This Row],[Höhe]]=select!$B$29,1,0)=2,1,0)</f>
        <v>0</v>
      </c>
      <c r="I85" s="26">
        <f>IF(Tabelle2[[#This Row],[Randbedingungen]]+IF(Tabelle2[[#This Row],[Höhe]]=select!$D$29,1,0)=2,1,0)</f>
        <v>0</v>
      </c>
      <c r="J85" s="26">
        <f>IF(Tabelle2[[#This Row],[Randbedingungen]]+IF(Tabelle2[[#This Row],[Höhe]]=select!$F$29,1,0)=2,1,0)</f>
        <v>0</v>
      </c>
      <c r="K85" s="26">
        <f>IF(Tabelle2[[#This Row],[Randbedingungen]]+IF(Tabelle2[[#This Row],[Höhe]]=select!$H$29,1,0)=2,1,0)</f>
        <v>0</v>
      </c>
      <c r="L8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5" s="43">
        <f ca="1">IF(Tabelle2[[#This Row],[Kröpfung 3]]+Tabelle2[[#This Row],[Kröpfung 0]]+Tabelle2[[#This Row],[Kröpfung 9,5]]+Tabelle2[[#This Row],[Kröpfung 19]]+Tabelle2[[#This Row],[auswahl K]]=2,1,0)</f>
        <v>0</v>
      </c>
      <c r="N85" s="36" t="str">
        <f ca="1">Sprache!$A$45</f>
        <v>1D Cross mounting plate TIOMOS</v>
      </c>
      <c r="O85" t="s">
        <v>886</v>
      </c>
      <c r="P85" t="str">
        <f ca="1">Sprache!$A$49</f>
        <v>TIOMOS mounting plates</v>
      </c>
      <c r="Q85" s="23">
        <v>1</v>
      </c>
      <c r="R85" s="23">
        <v>0</v>
      </c>
      <c r="S85" s="2">
        <v>0</v>
      </c>
      <c r="T85" s="2">
        <v>1</v>
      </c>
      <c r="U85" s="2">
        <v>0</v>
      </c>
      <c r="V85" s="2">
        <v>0</v>
      </c>
      <c r="W85" s="2">
        <v>0</v>
      </c>
      <c r="X85">
        <v>1</v>
      </c>
      <c r="Y85">
        <v>0</v>
      </c>
      <c r="Z85">
        <v>9.5</v>
      </c>
      <c r="AA85" s="15" t="s">
        <v>885</v>
      </c>
    </row>
    <row r="86" spans="1:27" ht="13.5" customHeight="1" x14ac:dyDescent="0.25">
      <c r="A86" s="34" t="str">
        <f t="shared" si="6"/>
        <v>F058</v>
      </c>
      <c r="B86" t="str">
        <f t="shared" si="7"/>
        <v>139</v>
      </c>
      <c r="C86" s="34" t="str">
        <f t="shared" si="8"/>
        <v>874</v>
      </c>
      <c r="D86" s="26">
        <f>IF(select!$H$16=1,Tabelle2[[#This Row],[Kreuz]],IF(select!$H$16=2,Tabelle2[[#This Row],[Linear]],0))</f>
        <v>1</v>
      </c>
      <c r="E86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6" s="26">
        <f>IF(Tabelle2[[#This Row],[37/32]]=1,1,IF(Tabelle2[[#This Row],[28/32]]=1,2,0))</f>
        <v>1</v>
      </c>
      <c r="G86" s="26">
        <f>IF(Tabelle2[[#This Row],[Kreuz/linear]]+Tabelle2[[#This Row],[Befestigung]]=2,1,0)</f>
        <v>0</v>
      </c>
      <c r="H86" s="26">
        <f>IF(Tabelle2[[#This Row],[Randbedingungen]]+IF(Tabelle2[[#This Row],[Höhe]]=select!$B$29,1,0)=2,1,0)</f>
        <v>0</v>
      </c>
      <c r="I86" s="26">
        <f>IF(Tabelle2[[#This Row],[Randbedingungen]]+IF(Tabelle2[[#This Row],[Höhe]]=select!$D$29,1,0)=2,1,0)</f>
        <v>0</v>
      </c>
      <c r="J86" s="26">
        <f>IF(Tabelle2[[#This Row],[Randbedingungen]]+IF(Tabelle2[[#This Row],[Höhe]]=select!$F$29,1,0)=2,1,0)</f>
        <v>0</v>
      </c>
      <c r="K86" s="26">
        <f>IF(Tabelle2[[#This Row],[Randbedingungen]]+IF(Tabelle2[[#This Row],[Höhe]]=select!$H$29,1,0)=2,1,0)</f>
        <v>0</v>
      </c>
      <c r="L86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6" s="43">
        <f ca="1">IF(Tabelle2[[#This Row],[Kröpfung 3]]+Tabelle2[[#This Row],[Kröpfung 0]]+Tabelle2[[#This Row],[Kröpfung 9,5]]+Tabelle2[[#This Row],[Kröpfung 19]]+Tabelle2[[#This Row],[auswahl K]]=2,1,0)</f>
        <v>0</v>
      </c>
      <c r="N86" s="36" t="str">
        <f ca="1">Sprache!$A$45</f>
        <v>1D Cross mounting plate TIOMOS</v>
      </c>
      <c r="O86" t="str">
        <f ca="1">"H 12, "&amp;Sprache!A50&amp;", ni /37"</f>
        <v>H 12, prem. Euro screws, ni /37</v>
      </c>
      <c r="P86" t="str">
        <f ca="1">Sprache!$A$49</f>
        <v>TIOMOS mounting plates</v>
      </c>
      <c r="Q86" s="23">
        <v>1</v>
      </c>
      <c r="R86" s="23">
        <v>0</v>
      </c>
      <c r="S86" s="2">
        <v>0</v>
      </c>
      <c r="T86" s="2">
        <v>0</v>
      </c>
      <c r="U86" s="2">
        <v>0</v>
      </c>
      <c r="V86" s="2">
        <v>1</v>
      </c>
      <c r="W86" s="2">
        <v>0</v>
      </c>
      <c r="X86">
        <v>1</v>
      </c>
      <c r="Y86">
        <v>0</v>
      </c>
      <c r="Z86">
        <v>12</v>
      </c>
      <c r="AA86" s="15" t="s">
        <v>872</v>
      </c>
    </row>
    <row r="87" spans="1:27" ht="13.5" customHeight="1" x14ac:dyDescent="0.25">
      <c r="A87" s="34" t="str">
        <f t="shared" si="6"/>
        <v>F058</v>
      </c>
      <c r="B87" t="str">
        <f t="shared" si="7"/>
        <v>139</v>
      </c>
      <c r="C87" s="34" t="str">
        <f t="shared" si="8"/>
        <v>893</v>
      </c>
      <c r="D87" s="26">
        <f>IF(select!$H$16=1,Tabelle2[[#This Row],[Kreuz]],IF(select!$H$16=2,Tabelle2[[#This Row],[Linear]],0))</f>
        <v>1</v>
      </c>
      <c r="E87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7" s="26">
        <f>IF(Tabelle2[[#This Row],[37/32]]=1,1,IF(Tabelle2[[#This Row],[28/32]]=1,2,0))</f>
        <v>1</v>
      </c>
      <c r="G87" s="26">
        <f>IF(Tabelle2[[#This Row],[Kreuz/linear]]+Tabelle2[[#This Row],[Befestigung]]=2,1,0)</f>
        <v>0</v>
      </c>
      <c r="H87" s="26">
        <f>IF(Tabelle2[[#This Row],[Randbedingungen]]+IF(Tabelle2[[#This Row],[Höhe]]=select!$B$29,1,0)=2,1,0)</f>
        <v>0</v>
      </c>
      <c r="I87" s="26">
        <f>IF(Tabelle2[[#This Row],[Randbedingungen]]+IF(Tabelle2[[#This Row],[Höhe]]=select!$D$29,1,0)=2,1,0)</f>
        <v>0</v>
      </c>
      <c r="J87" s="26">
        <f>IF(Tabelle2[[#This Row],[Randbedingungen]]+IF(Tabelle2[[#This Row],[Höhe]]=select!$F$29,1,0)=2,1,0)</f>
        <v>0</v>
      </c>
      <c r="K87" s="26">
        <f>IF(Tabelle2[[#This Row],[Randbedingungen]]+IF(Tabelle2[[#This Row],[Höhe]]=select!$H$29,1,0)=2,1,0)</f>
        <v>0</v>
      </c>
      <c r="L87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7" s="43">
        <f ca="1">IF(Tabelle2[[#This Row],[Kröpfung 3]]+Tabelle2[[#This Row],[Kröpfung 0]]+Tabelle2[[#This Row],[Kröpfung 9,5]]+Tabelle2[[#This Row],[Kröpfung 19]]+Tabelle2[[#This Row],[auswahl K]]=2,1,0)</f>
        <v>0</v>
      </c>
      <c r="N87" s="36" t="str">
        <f ca="1">Sprache!$A$45</f>
        <v>1D Cross mounting plate TIOMOS</v>
      </c>
      <c r="O87" t="s">
        <v>896</v>
      </c>
      <c r="P87" t="str">
        <f ca="1">Sprache!$A$49</f>
        <v>TIOMOS mounting plates</v>
      </c>
      <c r="Q87" s="23">
        <v>1</v>
      </c>
      <c r="R87" s="23">
        <v>0</v>
      </c>
      <c r="S87" s="2">
        <v>0</v>
      </c>
      <c r="T87" s="2">
        <v>1</v>
      </c>
      <c r="U87" s="2">
        <v>0</v>
      </c>
      <c r="V87" s="2">
        <v>0</v>
      </c>
      <c r="W87" s="2">
        <v>0</v>
      </c>
      <c r="X87">
        <v>1</v>
      </c>
      <c r="Y87">
        <v>0</v>
      </c>
      <c r="Z87">
        <v>12</v>
      </c>
      <c r="AA87" s="15" t="s">
        <v>895</v>
      </c>
    </row>
    <row r="88" spans="1:27" ht="13.5" customHeight="1" x14ac:dyDescent="0.25">
      <c r="A88" s="34" t="str">
        <f t="shared" si="6"/>
        <v>F059</v>
      </c>
      <c r="B88" t="str">
        <f t="shared" si="7"/>
        <v>139</v>
      </c>
      <c r="C88" s="34" t="str">
        <f t="shared" si="8"/>
        <v>876</v>
      </c>
      <c r="D88" s="26">
        <f>IF(select!$H$16=1,Tabelle2[[#This Row],[Kreuz]],IF(select!$H$16=2,Tabelle2[[#This Row],[Linear]],0))</f>
        <v>0</v>
      </c>
      <c r="E88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8" s="26">
        <f>IF(Tabelle2[[#This Row],[37/32]]=1,1,IF(Tabelle2[[#This Row],[28/32]]=1,2,0))</f>
        <v>0</v>
      </c>
      <c r="G88" s="26">
        <f>IF(Tabelle2[[#This Row],[Kreuz/linear]]+Tabelle2[[#This Row],[Befestigung]]=2,1,0)</f>
        <v>0</v>
      </c>
      <c r="H88" s="26">
        <f>IF(Tabelle2[[#This Row],[Randbedingungen]]+IF(Tabelle2[[#This Row],[Höhe]]=select!$B$29,1,0)=2,1,0)</f>
        <v>0</v>
      </c>
      <c r="I88" s="26">
        <f>IF(Tabelle2[[#This Row],[Randbedingungen]]+IF(Tabelle2[[#This Row],[Höhe]]=select!$D$29,1,0)=2,1,0)</f>
        <v>0</v>
      </c>
      <c r="J88" s="26">
        <f>IF(Tabelle2[[#This Row],[Randbedingungen]]+IF(Tabelle2[[#This Row],[Höhe]]=select!$F$29,1,0)=2,1,0)</f>
        <v>0</v>
      </c>
      <c r="K88" s="26">
        <f>IF(Tabelle2[[#This Row],[Randbedingungen]]+IF(Tabelle2[[#This Row],[Höhe]]=select!$H$29,1,0)=2,1,0)</f>
        <v>0</v>
      </c>
      <c r="L88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8" s="43">
        <f ca="1">IF(Tabelle2[[#This Row],[Kröpfung 3]]+Tabelle2[[#This Row],[Kröpfung 0]]+Tabelle2[[#This Row],[Kröpfung 9,5]]+Tabelle2[[#This Row],[Kröpfung 19]]+Tabelle2[[#This Row],[auswahl K]]=2,1,0)</f>
        <v>0</v>
      </c>
      <c r="N88" s="36" t="str">
        <f ca="1">Sprache!$A$48</f>
        <v>Linear distance plate TIOMOS</v>
      </c>
      <c r="O88" t="s">
        <v>925</v>
      </c>
      <c r="P88" t="str">
        <f ca="1">Sprache!$A$49</f>
        <v>TIOMOS mounting plates</v>
      </c>
      <c r="Q88" s="23">
        <v>0</v>
      </c>
      <c r="R88" s="23">
        <v>1</v>
      </c>
      <c r="S88" s="2">
        <v>1</v>
      </c>
      <c r="T88" s="2">
        <v>0</v>
      </c>
      <c r="U88" s="2">
        <v>0</v>
      </c>
      <c r="V88" s="2">
        <v>0</v>
      </c>
      <c r="W88" s="2">
        <v>0</v>
      </c>
      <c r="Z88">
        <v>12</v>
      </c>
      <c r="AA88" s="15" t="s">
        <v>923</v>
      </c>
    </row>
    <row r="89" spans="1:27" ht="13.5" customHeight="1" x14ac:dyDescent="0.25">
      <c r="A89" s="34" t="str">
        <f t="shared" si="6"/>
        <v>F059</v>
      </c>
      <c r="B89" t="str">
        <f t="shared" si="7"/>
        <v>139</v>
      </c>
      <c r="C89" s="34" t="str">
        <f t="shared" si="8"/>
        <v>877</v>
      </c>
      <c r="D89" s="26">
        <f>IF(select!$H$16=1,Tabelle2[[#This Row],[Kreuz]],IF(select!$H$16=2,Tabelle2[[#This Row],[Linear]],0))</f>
        <v>0</v>
      </c>
      <c r="E89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89" s="26">
        <f>IF(Tabelle2[[#This Row],[37/32]]=1,1,IF(Tabelle2[[#This Row],[28/32]]=1,2,0))</f>
        <v>0</v>
      </c>
      <c r="G89" s="26">
        <f>IF(Tabelle2[[#This Row],[Kreuz/linear]]+Tabelle2[[#This Row],[Befestigung]]=2,1,0)</f>
        <v>0</v>
      </c>
      <c r="H89" s="26">
        <f>IF(Tabelle2[[#This Row],[Randbedingungen]]+IF(Tabelle2[[#This Row],[Höhe]]=select!$B$29,1,0)=2,1,0)</f>
        <v>0</v>
      </c>
      <c r="I89" s="26">
        <f>IF(Tabelle2[[#This Row],[Randbedingungen]]+IF(Tabelle2[[#This Row],[Höhe]]=select!$D$29,1,0)=2,1,0)</f>
        <v>0</v>
      </c>
      <c r="J89" s="26">
        <f>IF(Tabelle2[[#This Row],[Randbedingungen]]+IF(Tabelle2[[#This Row],[Höhe]]=select!$F$29,1,0)=2,1,0)</f>
        <v>0</v>
      </c>
      <c r="K89" s="26">
        <f>IF(Tabelle2[[#This Row],[Randbedingungen]]+IF(Tabelle2[[#This Row],[Höhe]]=select!$H$29,1,0)=2,1,0)</f>
        <v>0</v>
      </c>
      <c r="L89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89" s="43">
        <f ca="1">IF(Tabelle2[[#This Row],[Kröpfung 3]]+Tabelle2[[#This Row],[Kröpfung 0]]+Tabelle2[[#This Row],[Kröpfung 9,5]]+Tabelle2[[#This Row],[Kröpfung 19]]+Tabelle2[[#This Row],[auswahl K]]=2,1,0)</f>
        <v>0</v>
      </c>
      <c r="N89" s="36" t="str">
        <f ca="1">Sprache!$A$47</f>
        <v>1D linear mounting plate TIOMOS</v>
      </c>
      <c r="O89" t="s">
        <v>927</v>
      </c>
      <c r="P89" t="str">
        <f ca="1">Sprache!$A$49</f>
        <v>TIOMOS mounting plates</v>
      </c>
      <c r="Q89" s="23">
        <v>0</v>
      </c>
      <c r="R89" s="23">
        <v>1</v>
      </c>
      <c r="S89" s="2">
        <v>1</v>
      </c>
      <c r="T89" s="2">
        <v>0</v>
      </c>
      <c r="U89" s="2">
        <v>0</v>
      </c>
      <c r="V89" s="2">
        <v>0</v>
      </c>
      <c r="W89" s="2">
        <v>0</v>
      </c>
      <c r="Z89">
        <v>12</v>
      </c>
      <c r="AA89" s="15" t="s">
        <v>926</v>
      </c>
    </row>
    <row r="90" spans="1:27" ht="13.5" customHeight="1" x14ac:dyDescent="0.25">
      <c r="A90" s="34" t="str">
        <f t="shared" si="6"/>
        <v>F058</v>
      </c>
      <c r="B90" t="str">
        <f t="shared" si="7"/>
        <v>139</v>
      </c>
      <c r="C90" s="34" t="str">
        <f t="shared" si="8"/>
        <v>883</v>
      </c>
      <c r="D90" s="26">
        <f>IF(select!$H$16=1,Tabelle2[[#This Row],[Kreuz]],IF(select!$H$16=2,Tabelle2[[#This Row],[Linear]],0))</f>
        <v>1</v>
      </c>
      <c r="E90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0" s="26">
        <f>IF(Tabelle2[[#This Row],[37/32]]=1,1,IF(Tabelle2[[#This Row],[28/32]]=1,2,0))</f>
        <v>1</v>
      </c>
      <c r="G90" s="26">
        <f>IF(Tabelle2[[#This Row],[Kreuz/linear]]+Tabelle2[[#This Row],[Befestigung]]=2,1,0)</f>
        <v>0</v>
      </c>
      <c r="H90" s="26">
        <f>IF(Tabelle2[[#This Row],[Randbedingungen]]+IF(Tabelle2[[#This Row],[Höhe]]=select!$B$29,1,0)=2,1,0)</f>
        <v>0</v>
      </c>
      <c r="I90" s="26">
        <f>IF(Tabelle2[[#This Row],[Randbedingungen]]+IF(Tabelle2[[#This Row],[Höhe]]=select!$D$29,1,0)=2,1,0)</f>
        <v>0</v>
      </c>
      <c r="J90" s="26">
        <f>IF(Tabelle2[[#This Row],[Randbedingungen]]+IF(Tabelle2[[#This Row],[Höhe]]=select!$F$29,1,0)=2,1,0)</f>
        <v>0</v>
      </c>
      <c r="K90" s="26">
        <f>IF(Tabelle2[[#This Row],[Randbedingungen]]+IF(Tabelle2[[#This Row],[Höhe]]=select!$H$29,1,0)=2,1,0)</f>
        <v>0</v>
      </c>
      <c r="L90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0" s="43">
        <f ca="1">IF(Tabelle2[[#This Row],[Kröpfung 3]]+Tabelle2[[#This Row],[Kröpfung 0]]+Tabelle2[[#This Row],[Kröpfung 9,5]]+Tabelle2[[#This Row],[Kröpfung 19]]+Tabelle2[[#This Row],[auswahl K]]=2,1,0)</f>
        <v>0</v>
      </c>
      <c r="N90" s="36" t="str">
        <f ca="1">Sprache!$A$45</f>
        <v>1D Cross mounting plate TIOMOS</v>
      </c>
      <c r="O90" t="str">
        <f ca="1">"H 14, "&amp;Sprache!A50&amp;", ni /37"</f>
        <v>H 14, prem. Euro screws, ni /37</v>
      </c>
      <c r="P90" t="str">
        <f ca="1">Sprache!$A$49</f>
        <v>TIOMOS mounting plates</v>
      </c>
      <c r="Q90" s="23">
        <v>1</v>
      </c>
      <c r="R90" s="23">
        <v>0</v>
      </c>
      <c r="S90" s="2">
        <v>0</v>
      </c>
      <c r="T90" s="2">
        <v>0</v>
      </c>
      <c r="U90" s="2">
        <v>0</v>
      </c>
      <c r="V90" s="2">
        <v>1</v>
      </c>
      <c r="W90" s="2">
        <v>0</v>
      </c>
      <c r="X90">
        <v>1</v>
      </c>
      <c r="Y90">
        <v>0</v>
      </c>
      <c r="Z90">
        <v>14</v>
      </c>
      <c r="AA90" s="15" t="s">
        <v>878</v>
      </c>
    </row>
    <row r="91" spans="1:27" ht="13.5" customHeight="1" x14ac:dyDescent="0.25">
      <c r="A91" s="34" t="str">
        <f t="shared" si="6"/>
        <v>F058</v>
      </c>
      <c r="B91" t="str">
        <f t="shared" si="7"/>
        <v>139</v>
      </c>
      <c r="C91" s="34" t="str">
        <f t="shared" si="8"/>
        <v>889</v>
      </c>
      <c r="D91" s="26">
        <f>IF(select!$H$16=1,Tabelle2[[#This Row],[Kreuz]],IF(select!$H$16=2,Tabelle2[[#This Row],[Linear]],0))</f>
        <v>1</v>
      </c>
      <c r="E91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1" s="26">
        <f>IF(Tabelle2[[#This Row],[37/32]]=1,1,IF(Tabelle2[[#This Row],[28/32]]=1,2,0))</f>
        <v>1</v>
      </c>
      <c r="G91" s="26">
        <f>IF(Tabelle2[[#This Row],[Kreuz/linear]]+Tabelle2[[#This Row],[Befestigung]]=2,1,0)</f>
        <v>0</v>
      </c>
      <c r="H91" s="26">
        <f>IF(Tabelle2[[#This Row],[Randbedingungen]]+IF(Tabelle2[[#This Row],[Höhe]]=select!$B$29,1,0)=2,1,0)</f>
        <v>0</v>
      </c>
      <c r="I91" s="26">
        <f>IF(Tabelle2[[#This Row],[Randbedingungen]]+IF(Tabelle2[[#This Row],[Höhe]]=select!$D$29,1,0)=2,1,0)</f>
        <v>0</v>
      </c>
      <c r="J91" s="26">
        <f>IF(Tabelle2[[#This Row],[Randbedingungen]]+IF(Tabelle2[[#This Row],[Höhe]]=select!$F$29,1,0)=2,1,0)</f>
        <v>0</v>
      </c>
      <c r="K91" s="26">
        <f>IF(Tabelle2[[#This Row],[Randbedingungen]]+IF(Tabelle2[[#This Row],[Höhe]]=select!$H$29,1,0)=2,1,0)</f>
        <v>0</v>
      </c>
      <c r="L91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1" s="43">
        <f ca="1">IF(Tabelle2[[#This Row],[Kröpfung 3]]+Tabelle2[[#This Row],[Kröpfung 0]]+Tabelle2[[#This Row],[Kröpfung 9,5]]+Tabelle2[[#This Row],[Kröpfung 19]]+Tabelle2[[#This Row],[auswahl K]]=2,1,0)</f>
        <v>0</v>
      </c>
      <c r="N91" s="36" t="str">
        <f ca="1">Sprache!$A$45</f>
        <v>1D Cross mounting plate TIOMOS</v>
      </c>
      <c r="O91" t="s">
        <v>888</v>
      </c>
      <c r="P91" t="str">
        <f ca="1">Sprache!$A$49</f>
        <v>TIOMOS mounting plates</v>
      </c>
      <c r="Q91" s="23">
        <v>1</v>
      </c>
      <c r="R91" s="23">
        <v>0</v>
      </c>
      <c r="S91" s="2">
        <v>0</v>
      </c>
      <c r="T91" s="2">
        <v>1</v>
      </c>
      <c r="U91" s="2">
        <v>0</v>
      </c>
      <c r="V91" s="2">
        <v>0</v>
      </c>
      <c r="W91" s="2">
        <v>0</v>
      </c>
      <c r="X91">
        <v>1</v>
      </c>
      <c r="Y91">
        <v>0</v>
      </c>
      <c r="Z91">
        <v>14</v>
      </c>
      <c r="AA91" s="15" t="s">
        <v>887</v>
      </c>
    </row>
    <row r="92" spans="1:27" ht="13.5" customHeight="1" x14ac:dyDescent="0.25">
      <c r="A92" s="34" t="str">
        <f t="shared" si="6"/>
        <v>F058</v>
      </c>
      <c r="B92" t="str">
        <f t="shared" si="7"/>
        <v>139</v>
      </c>
      <c r="C92" s="34" t="str">
        <f t="shared" si="8"/>
        <v>875</v>
      </c>
      <c r="D92" s="26">
        <f>IF(select!$H$16=1,Tabelle2[[#This Row],[Kreuz]],IF(select!$H$16=2,Tabelle2[[#This Row],[Linear]],0))</f>
        <v>1</v>
      </c>
      <c r="E92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2" s="26">
        <f>IF(Tabelle2[[#This Row],[37/32]]=1,1,IF(Tabelle2[[#This Row],[28/32]]=1,2,0))</f>
        <v>1</v>
      </c>
      <c r="G92" s="26">
        <f>IF(Tabelle2[[#This Row],[Kreuz/linear]]+Tabelle2[[#This Row],[Befestigung]]=2,1,0)</f>
        <v>0</v>
      </c>
      <c r="H92" s="26">
        <f>IF(Tabelle2[[#This Row],[Randbedingungen]]+IF(Tabelle2[[#This Row],[Höhe]]=select!$B$29,1,0)=2,1,0)</f>
        <v>0</v>
      </c>
      <c r="I92" s="26">
        <f>IF(Tabelle2[[#This Row],[Randbedingungen]]+IF(Tabelle2[[#This Row],[Höhe]]=select!$D$29,1,0)=2,1,0)</f>
        <v>0</v>
      </c>
      <c r="J92" s="26">
        <f>IF(Tabelle2[[#This Row],[Randbedingungen]]+IF(Tabelle2[[#This Row],[Höhe]]=select!$F$29,1,0)=2,1,0)</f>
        <v>0</v>
      </c>
      <c r="K92" s="26">
        <f>IF(Tabelle2[[#This Row],[Randbedingungen]]+IF(Tabelle2[[#This Row],[Höhe]]=select!$H$29,1,0)=2,1,0)</f>
        <v>0</v>
      </c>
      <c r="L92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2" s="43">
        <f ca="1">IF(Tabelle2[[#This Row],[Kröpfung 3]]+Tabelle2[[#This Row],[Kröpfung 0]]+Tabelle2[[#This Row],[Kröpfung 9,5]]+Tabelle2[[#This Row],[Kröpfung 19]]+Tabelle2[[#This Row],[auswahl K]]=2,1,0)</f>
        <v>0</v>
      </c>
      <c r="N92" s="36" t="str">
        <f ca="1">Sprache!$A$45</f>
        <v>1D Cross mounting plate TIOMOS</v>
      </c>
      <c r="O92" t="str">
        <f ca="1">"H 19, "&amp;Sprache!A50&amp;", ni /37"</f>
        <v>H 19, prem. Euro screws, ni /37</v>
      </c>
      <c r="P92" t="str">
        <f ca="1">Sprache!$A$49</f>
        <v>TIOMOS mounting plates</v>
      </c>
      <c r="Q92" s="23">
        <v>1</v>
      </c>
      <c r="R92" s="23">
        <v>0</v>
      </c>
      <c r="S92" s="2">
        <v>0</v>
      </c>
      <c r="T92" s="2">
        <v>0</v>
      </c>
      <c r="U92" s="2">
        <v>0</v>
      </c>
      <c r="V92" s="2">
        <v>1</v>
      </c>
      <c r="W92" s="2">
        <v>0</v>
      </c>
      <c r="X92">
        <v>1</v>
      </c>
      <c r="Y92">
        <v>0</v>
      </c>
      <c r="Z92">
        <v>19</v>
      </c>
      <c r="AA92" s="15" t="s">
        <v>873</v>
      </c>
    </row>
    <row r="93" spans="1:27" ht="13.5" customHeight="1" x14ac:dyDescent="0.25">
      <c r="A93" s="34" t="str">
        <f t="shared" si="6"/>
        <v>F058</v>
      </c>
      <c r="B93" t="str">
        <f t="shared" si="7"/>
        <v>139</v>
      </c>
      <c r="C93" s="34" t="str">
        <f t="shared" si="8"/>
        <v>894</v>
      </c>
      <c r="D93" s="26">
        <f>IF(select!$H$16=1,Tabelle2[[#This Row],[Kreuz]],IF(select!$H$16=2,Tabelle2[[#This Row],[Linear]],0))</f>
        <v>1</v>
      </c>
      <c r="E93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3" s="26">
        <f>IF(Tabelle2[[#This Row],[37/32]]=1,1,IF(Tabelle2[[#This Row],[28/32]]=1,2,0))</f>
        <v>1</v>
      </c>
      <c r="G93" s="26">
        <f>IF(Tabelle2[[#This Row],[Kreuz/linear]]+Tabelle2[[#This Row],[Befestigung]]=2,1,0)</f>
        <v>0</v>
      </c>
      <c r="H93" s="26">
        <f>IF(Tabelle2[[#This Row],[Randbedingungen]]+IF(Tabelle2[[#This Row],[Höhe]]=select!$B$29,1,0)=2,1,0)</f>
        <v>0</v>
      </c>
      <c r="I93" s="26">
        <f>IF(Tabelle2[[#This Row],[Randbedingungen]]+IF(Tabelle2[[#This Row],[Höhe]]=select!$D$29,1,0)=2,1,0)</f>
        <v>0</v>
      </c>
      <c r="J93" s="26">
        <f>IF(Tabelle2[[#This Row],[Randbedingungen]]+IF(Tabelle2[[#This Row],[Höhe]]=select!$F$29,1,0)=2,1,0)</f>
        <v>0</v>
      </c>
      <c r="K93" s="26">
        <f>IF(Tabelle2[[#This Row],[Randbedingungen]]+IF(Tabelle2[[#This Row],[Höhe]]=select!$H$29,1,0)=2,1,0)</f>
        <v>0</v>
      </c>
      <c r="L93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3" s="43">
        <f ca="1">IF(Tabelle2[[#This Row],[Kröpfung 3]]+Tabelle2[[#This Row],[Kröpfung 0]]+Tabelle2[[#This Row],[Kröpfung 9,5]]+Tabelle2[[#This Row],[Kröpfung 19]]+Tabelle2[[#This Row],[auswahl K]]=2,1,0)</f>
        <v>0</v>
      </c>
      <c r="N93" s="36" t="str">
        <f ca="1">Sprache!$A$45</f>
        <v>1D Cross mounting plate TIOMOS</v>
      </c>
      <c r="O93" t="s">
        <v>898</v>
      </c>
      <c r="P93" t="str">
        <f ca="1">Sprache!$A$49</f>
        <v>TIOMOS mounting plates</v>
      </c>
      <c r="Q93" s="23">
        <v>1</v>
      </c>
      <c r="R93" s="23">
        <v>0</v>
      </c>
      <c r="S93" s="2">
        <v>0</v>
      </c>
      <c r="T93" s="2">
        <v>1</v>
      </c>
      <c r="U93" s="2">
        <v>0</v>
      </c>
      <c r="V93" s="2">
        <v>0</v>
      </c>
      <c r="W93" s="2">
        <v>0</v>
      </c>
      <c r="X93">
        <v>1</v>
      </c>
      <c r="Y93">
        <v>0</v>
      </c>
      <c r="Z93">
        <v>19</v>
      </c>
      <c r="AA93" s="15" t="s">
        <v>897</v>
      </c>
    </row>
    <row r="94" spans="1:27" ht="13.5" customHeight="1" x14ac:dyDescent="0.25">
      <c r="A94" s="34" t="str">
        <f t="shared" si="6"/>
        <v>F058</v>
      </c>
      <c r="B94" t="str">
        <f t="shared" si="7"/>
        <v>139</v>
      </c>
      <c r="C94" s="34" t="str">
        <f t="shared" si="8"/>
        <v>895</v>
      </c>
      <c r="D94" s="26">
        <f>IF(select!$H$16=1,Tabelle2[[#This Row],[Kreuz]],IF(select!$H$16=2,Tabelle2[[#This Row],[Linear]],0))</f>
        <v>1</v>
      </c>
      <c r="E94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4" s="26">
        <f>IF(Tabelle2[[#This Row],[37/32]]=1,1,IF(Tabelle2[[#This Row],[28/32]]=1,2,0))</f>
        <v>1</v>
      </c>
      <c r="G94" s="26">
        <f>IF(Tabelle2[[#This Row],[Kreuz/linear]]+Tabelle2[[#This Row],[Befestigung]]=2,1,0)</f>
        <v>0</v>
      </c>
      <c r="H94" s="26">
        <f>IF(Tabelle2[[#This Row],[Randbedingungen]]+IF(Tabelle2[[#This Row],[Höhe]]=select!$B$29,1,0)=2,1,0)</f>
        <v>0</v>
      </c>
      <c r="I94" s="26">
        <f>IF(Tabelle2[[#This Row],[Randbedingungen]]+IF(Tabelle2[[#This Row],[Höhe]]=select!$D$29,1,0)=2,1,0)</f>
        <v>0</v>
      </c>
      <c r="J94" s="26">
        <f>IF(Tabelle2[[#This Row],[Randbedingungen]]+IF(Tabelle2[[#This Row],[Höhe]]=select!$F$29,1,0)=2,1,0)</f>
        <v>0</v>
      </c>
      <c r="K94" s="26">
        <f>IF(Tabelle2[[#This Row],[Randbedingungen]]+IF(Tabelle2[[#This Row],[Höhe]]=select!$H$29,1,0)=2,1,0)</f>
        <v>0</v>
      </c>
      <c r="L94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4" s="43">
        <f ca="1">IF(Tabelle2[[#This Row],[Kröpfung 3]]+Tabelle2[[#This Row],[Kröpfung 0]]+Tabelle2[[#This Row],[Kröpfung 9,5]]+Tabelle2[[#This Row],[Kröpfung 19]]+Tabelle2[[#This Row],[auswahl K]]=2,1,0)</f>
        <v>0</v>
      </c>
      <c r="N94" s="36" t="str">
        <f ca="1">Sprache!$A$45</f>
        <v>1D Cross mounting plate TIOMOS</v>
      </c>
      <c r="O94" t="s">
        <v>900</v>
      </c>
      <c r="P94" t="str">
        <f ca="1">Sprache!$A$49</f>
        <v>TIOMOS mounting plates</v>
      </c>
      <c r="Q94" s="23">
        <v>1</v>
      </c>
      <c r="R94" s="23">
        <v>0</v>
      </c>
      <c r="S94" s="2">
        <v>0</v>
      </c>
      <c r="T94" s="2">
        <v>1</v>
      </c>
      <c r="U94" s="2">
        <v>0</v>
      </c>
      <c r="V94" s="2">
        <v>0</v>
      </c>
      <c r="W94" s="2">
        <v>0</v>
      </c>
      <c r="X94">
        <v>1</v>
      </c>
      <c r="Y94">
        <v>0</v>
      </c>
      <c r="Z94">
        <v>21</v>
      </c>
      <c r="AA94" s="15" t="s">
        <v>899</v>
      </c>
    </row>
    <row r="95" spans="1:27" ht="13.5" customHeight="1" x14ac:dyDescent="0.25">
      <c r="A95" s="34" t="str">
        <f t="shared" si="6"/>
        <v>F058</v>
      </c>
      <c r="B95" t="str">
        <f t="shared" si="7"/>
        <v>139</v>
      </c>
      <c r="C95" s="34" t="str">
        <f t="shared" si="8"/>
        <v>896</v>
      </c>
      <c r="D95" s="26">
        <f>IF(select!$H$16=1,Tabelle2[[#This Row],[Kreuz]],IF(select!$H$16=2,Tabelle2[[#This Row],[Linear]],0))</f>
        <v>1</v>
      </c>
      <c r="E95" s="26">
        <f>IF(select!$L$15=IF(Tabelle2[[#This Row],[zum einpressen]]=1,1,IF(Tabelle2[[#This Row],[zum anschrauben mit Holzschrauben]]=1,2,IF(Tabelle2[[#This Row],[zum anschrauben mit Euroschrauben]]=1,3,IF(Tabelle2[[#This Row],[vorm. Euro '[13,5']]]=1,4,5)))),1,0)</f>
        <v>0</v>
      </c>
      <c r="F95" s="26">
        <f>IF(Tabelle2[[#This Row],[37/32]]=1,1,IF(Tabelle2[[#This Row],[28/32]]=1,2,0))</f>
        <v>1</v>
      </c>
      <c r="G95" s="26">
        <f>IF(Tabelle2[[#This Row],[Kreuz/linear]]+Tabelle2[[#This Row],[Befestigung]]=2,1,0)</f>
        <v>0</v>
      </c>
      <c r="H95" s="26">
        <f>IF(Tabelle2[[#This Row],[Randbedingungen]]+IF(Tabelle2[[#This Row],[Höhe]]=select!$B$29,1,0)=2,1,0)</f>
        <v>0</v>
      </c>
      <c r="I95" s="26">
        <f>IF(Tabelle2[[#This Row],[Randbedingungen]]+IF(Tabelle2[[#This Row],[Höhe]]=select!$D$29,1,0)=2,1,0)</f>
        <v>0</v>
      </c>
      <c r="J95" s="26">
        <f>IF(Tabelle2[[#This Row],[Randbedingungen]]+IF(Tabelle2[[#This Row],[Höhe]]=select!$F$29,1,0)=2,1,0)</f>
        <v>0</v>
      </c>
      <c r="K95" s="26">
        <f>IF(Tabelle2[[#This Row],[Randbedingungen]]+IF(Tabelle2[[#This Row],[Höhe]]=select!$H$29,1,0)=2,1,0)</f>
        <v>0</v>
      </c>
      <c r="L95" s="26">
        <f ca="1">IF(select!$F$86=-1000,1,IF(IF(Tabelle2[[#This Row],[Kröpfung 3]]=1,3,IF(Tabelle2[[#This Row],[Kröpfung 0]]=1,0,IF(Tabelle2[[#This Row],[Kröpfung 9,5]]=1,9.5,IF(Tabelle2[[#This Row],[Kröpfung 19]]=1,19,""))))=select!$F$86,1,0))</f>
        <v>0</v>
      </c>
      <c r="M95" s="43">
        <f ca="1">IF(Tabelle2[[#This Row],[Kröpfung 3]]+Tabelle2[[#This Row],[Kröpfung 0]]+Tabelle2[[#This Row],[Kröpfung 9,5]]+Tabelle2[[#This Row],[Kröpfung 19]]+Tabelle2[[#This Row],[auswahl K]]=2,1,0)</f>
        <v>0</v>
      </c>
      <c r="N95" s="36" t="str">
        <f ca="1">Sprache!$A$45</f>
        <v>1D Cross mounting plate TIOMOS</v>
      </c>
      <c r="O95" t="str">
        <f ca="1">"H 21, "&amp;Sprache!A50&amp;", ni /37"</f>
        <v>H 21, prem. Euro screws, ni /37</v>
      </c>
      <c r="P95" t="str">
        <f ca="1">Sprache!$A$49</f>
        <v>TIOMOS mounting plates</v>
      </c>
      <c r="Q95" s="23">
        <v>1</v>
      </c>
      <c r="R95" s="23">
        <v>0</v>
      </c>
      <c r="S95" s="2">
        <v>0</v>
      </c>
      <c r="T95" s="2">
        <v>0</v>
      </c>
      <c r="U95" s="2">
        <v>0</v>
      </c>
      <c r="V95" s="2">
        <v>1</v>
      </c>
      <c r="W95" s="2">
        <v>0</v>
      </c>
      <c r="X95">
        <v>1</v>
      </c>
      <c r="Y95">
        <v>0</v>
      </c>
      <c r="Z95">
        <v>21</v>
      </c>
      <c r="AA95" s="15" t="s">
        <v>901</v>
      </c>
    </row>
    <row r="96" spans="1:27" ht="13.5" customHeight="1" x14ac:dyDescent="0.25">
      <c r="A96" s="34" t="s">
        <v>952</v>
      </c>
      <c r="H96" s="26">
        <f>SUBTOTAL(104,Tabelle2[Kröpfung 3])</f>
        <v>0</v>
      </c>
      <c r="I96" s="26">
        <f>SUBTOTAL(104,Tabelle2[Kröpfung 0])</f>
        <v>0</v>
      </c>
      <c r="J96" s="26">
        <f>SUBTOTAL(104,Tabelle2[Kröpfung 9,5])</f>
        <v>1</v>
      </c>
      <c r="K96" s="26">
        <f>SUBTOTAL(104,Tabelle2[Kröpfung 19])</f>
        <v>0</v>
      </c>
      <c r="L96" s="106">
        <f ca="1">SUBTOTAL(104,Tabelle2[auswahl K])</f>
        <v>1</v>
      </c>
      <c r="M96" s="43">
        <f ca="1">SUBTOTAL(104,Tabelle2[Gesamt])</f>
        <v>1</v>
      </c>
      <c r="N96" s="44"/>
      <c r="AA96" s="45">
        <f>SUBTOTAL(103,Tabelle2[Teil])</f>
        <v>94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F39"/>
  <sheetViews>
    <sheetView workbookViewId="0">
      <selection activeCell="A41" sqref="A41"/>
    </sheetView>
  </sheetViews>
  <sheetFormatPr baseColWidth="10" defaultRowHeight="15" x14ac:dyDescent="0.25"/>
  <sheetData>
    <row r="1" spans="1:6" x14ac:dyDescent="0.25">
      <c r="A1" t="str">
        <f ca="1">select!C147</f>
        <v>Afromosia</v>
      </c>
      <c r="B1">
        <f>select!D147</f>
        <v>0.71</v>
      </c>
      <c r="C1">
        <f t="array" aca="1" ref="C1" ca="1">SUM(IF(A$1:A$39 &lt; A1,1))+ (A1="")*1000</f>
        <v>0</v>
      </c>
      <c r="E1" t="str">
        <f ca="1">INDIRECT("A"&amp;MATCH(SMALL(C$1:C$39,ROW()),C$1:C$39,0))</f>
        <v>Afromosia</v>
      </c>
      <c r="F1">
        <f t="array" aca="1" ref="F1" ca="1">INDIRECT("B"&amp;MATCH(SMALL(C$1:C$39,ROW()),C$1:C$39,0))</f>
        <v>0.71</v>
      </c>
    </row>
    <row r="2" spans="1:6" x14ac:dyDescent="0.25">
      <c r="A2" t="str">
        <f ca="1">select!C148</f>
        <v>Maple</v>
      </c>
      <c r="B2">
        <f>select!D148</f>
        <v>0.75</v>
      </c>
      <c r="C2">
        <f t="array" aca="1" ref="C2" ca="1">SUM(IF(A$1:A$39 &lt; A2,1))+ (A2="")*1000</f>
        <v>27</v>
      </c>
      <c r="E2" t="str">
        <f t="shared" ref="E2:E39" ca="1" si="0">INDIRECT("A"&amp;MATCH(SMALL(C$1:C$39,ROW()),C$1:C$39,0))</f>
        <v>Alder</v>
      </c>
      <c r="F2">
        <f t="array" aca="1" ref="F2" ca="1">INDIRECT("B"&amp;MATCH(SMALL(C$1:C$39,ROW()),C$1:C$39,0))</f>
        <v>0.7</v>
      </c>
    </row>
    <row r="3" spans="1:6" x14ac:dyDescent="0.25">
      <c r="A3" t="str">
        <f ca="1">select!C149</f>
        <v>Basswood</v>
      </c>
      <c r="B3">
        <f>select!D149</f>
        <v>0.6</v>
      </c>
      <c r="C3">
        <f t="array" aca="1" ref="C3" ca="1">SUM(IF(A$1:A$39 &lt; A3,1))+ (A3="")*1000</f>
        <v>7</v>
      </c>
      <c r="E3" t="str">
        <f t="shared" ca="1" si="0"/>
        <v>Apple</v>
      </c>
      <c r="F3">
        <f t="array" aca="1" ref="F3" ca="1">INDIRECT("B"&amp;MATCH(SMALL(C$1:C$39,ROW()),C$1:C$39,0))</f>
        <v>0.8</v>
      </c>
    </row>
    <row r="4" spans="1:6" x14ac:dyDescent="0.25">
      <c r="A4" t="str">
        <f ca="1">select!C150</f>
        <v>Apple</v>
      </c>
      <c r="B4">
        <f>select!D150</f>
        <v>0.8</v>
      </c>
      <c r="C4">
        <f t="array" aca="1" ref="C4" ca="1">SUM(IF(A$1:A$39 &lt; A4,1))+ (A4="")*1000</f>
        <v>2</v>
      </c>
      <c r="E4" t="str">
        <f t="shared" ca="1" si="0"/>
        <v>Ash</v>
      </c>
      <c r="F4">
        <f t="array" aca="1" ref="F4" ca="1">INDIRECT("B"&amp;MATCH(SMALL(C$1:C$39,ROW()),C$1:C$39,0))</f>
        <v>0.71</v>
      </c>
    </row>
    <row r="5" spans="1:6" x14ac:dyDescent="0.25">
      <c r="A5" t="str">
        <f ca="1">select!C151</f>
        <v>Balsa</v>
      </c>
      <c r="B5">
        <f>select!D151</f>
        <v>0.16</v>
      </c>
      <c r="C5">
        <f t="array" aca="1" ref="C5" ca="1">SUM(IF(A$1:A$39 &lt; A5,1))+ (A5="")*1000</f>
        <v>5</v>
      </c>
      <c r="E5" t="str">
        <f t="shared" ca="1" si="0"/>
        <v>Aspen</v>
      </c>
      <c r="F5">
        <f t="array" aca="1" ref="F5" ca="1">INDIRECT("B"&amp;MATCH(SMALL(C$1:C$39,ROW()),C$1:C$39,0))</f>
        <v>0.42</v>
      </c>
    </row>
    <row r="6" spans="1:6" x14ac:dyDescent="0.25">
      <c r="A6" t="str">
        <f ca="1">select!C152</f>
        <v>Bamboo</v>
      </c>
      <c r="B6">
        <f>select!D152</f>
        <v>0.4</v>
      </c>
      <c r="C6">
        <f t="array" aca="1" ref="C6" ca="1">SUM(IF(A$1:A$39 &lt; A6,1))+ (A6="")*1000</f>
        <v>6</v>
      </c>
      <c r="E6" t="str">
        <f t="shared" ca="1" si="0"/>
        <v>Balsa</v>
      </c>
      <c r="F6">
        <f t="array" aca="1" ref="F6" ca="1">INDIRECT("B"&amp;MATCH(SMALL(C$1:C$39,ROW()),C$1:C$39,0))</f>
        <v>0.16</v>
      </c>
    </row>
    <row r="7" spans="1:6" x14ac:dyDescent="0.25">
      <c r="A7" t="str">
        <f ca="1">select!C153</f>
        <v>Birch</v>
      </c>
      <c r="B7">
        <f>select!D153</f>
        <v>0.67</v>
      </c>
      <c r="C7">
        <f t="array" aca="1" ref="C7" ca="1">SUM(IF(A$1:A$39 &lt; A7,1))+ (A7="")*1000</f>
        <v>9</v>
      </c>
      <c r="E7" t="str">
        <f t="shared" ca="1" si="0"/>
        <v>Bamboo</v>
      </c>
      <c r="F7">
        <f t="array" aca="1" ref="F7" ca="1">INDIRECT("B"&amp;MATCH(SMALL(C$1:C$39,ROW()),C$1:C$39,0))</f>
        <v>0.4</v>
      </c>
    </row>
    <row r="8" spans="1:6" x14ac:dyDescent="0.25">
      <c r="A8" t="str">
        <f ca="1">select!C154</f>
        <v>Pear</v>
      </c>
      <c r="B8">
        <f>select!D154</f>
        <v>0.7</v>
      </c>
      <c r="C8">
        <f t="array" aca="1" ref="C8" ca="1">SUM(IF(A$1:A$39 &lt; A8,1))+ (A8="")*1000</f>
        <v>29</v>
      </c>
      <c r="E8" t="str">
        <f t="shared" ca="1" si="0"/>
        <v>Basswood</v>
      </c>
      <c r="F8">
        <f t="array" aca="1" ref="F8" ca="1">INDIRECT("B"&amp;MATCH(SMALL(C$1:C$39,ROW()),C$1:C$39,0))</f>
        <v>0.6</v>
      </c>
    </row>
    <row r="9" spans="1:6" x14ac:dyDescent="0.25">
      <c r="A9" t="str">
        <f ca="1">select!C155</f>
        <v>Beech</v>
      </c>
      <c r="B9">
        <f>select!D155</f>
        <v>0.9</v>
      </c>
      <c r="C9">
        <f t="array" aca="1" ref="C9" ca="1">SUM(IF(A$1:A$39 &lt; A9,1))+ (A9="")*1000</f>
        <v>8</v>
      </c>
      <c r="E9" t="str">
        <f t="shared" ca="1" si="0"/>
        <v>Beech</v>
      </c>
      <c r="F9">
        <f t="array" aca="1" ref="F9" ca="1">INDIRECT("B"&amp;MATCH(SMALL(C$1:C$39,ROW()),C$1:C$39,0))</f>
        <v>0.9</v>
      </c>
    </row>
    <row r="10" spans="1:6" x14ac:dyDescent="0.25">
      <c r="A10" t="str">
        <f ca="1">select!C156</f>
        <v>Douglas Fir</v>
      </c>
      <c r="B10">
        <f>select!D156</f>
        <v>0.53</v>
      </c>
      <c r="C10">
        <f t="array" aca="1" ref="C10" ca="1">SUM(IF(A$1:A$39 &lt; A10,1))+ (A10="")*1000</f>
        <v>15</v>
      </c>
      <c r="E10" t="str">
        <f t="shared" ca="1" si="0"/>
        <v>Birch</v>
      </c>
      <c r="F10">
        <f t="array" aca="1" ref="F10" ca="1">INDIRECT("B"&amp;MATCH(SMALL(C$1:C$39,ROW()),C$1:C$39,0))</f>
        <v>0.67</v>
      </c>
    </row>
    <row r="11" spans="1:6" x14ac:dyDescent="0.25">
      <c r="A11" t="str">
        <f ca="1">select!C157</f>
        <v>Ebony</v>
      </c>
      <c r="B11">
        <f>select!D157</f>
        <v>1.3</v>
      </c>
      <c r="C11">
        <f t="array" aca="1" ref="C11" ca="1">SUM(IF(A$1:A$39 &lt; A11,1))+ (A11="")*1000</f>
        <v>16</v>
      </c>
      <c r="E11" t="str">
        <f t="shared" ca="1" si="0"/>
        <v>Cedar</v>
      </c>
      <c r="F11">
        <f t="array" aca="1" ref="F11" ca="1">INDIRECT("B"&amp;MATCH(SMALL(C$1:C$39,ROW()),C$1:C$39,0))</f>
        <v>0.57999999999999996</v>
      </c>
    </row>
    <row r="12" spans="1:6" x14ac:dyDescent="0.25">
      <c r="A12" t="str">
        <f ca="1">select!C158</f>
        <v>Alder</v>
      </c>
      <c r="B12">
        <f>select!D158</f>
        <v>0.7</v>
      </c>
      <c r="C12">
        <f t="array" aca="1" ref="C12" ca="1">SUM(IF(A$1:A$39 &lt; A12,1))+ (A12="")*1000</f>
        <v>1</v>
      </c>
      <c r="E12" t="str">
        <f t="shared" ca="1" si="0"/>
        <v>Cherry</v>
      </c>
      <c r="F12">
        <f t="array" aca="1" ref="F12" ca="1">INDIRECT("B"&amp;MATCH(SMALL(C$1:C$39,ROW()),C$1:C$39,0))</f>
        <v>0.63</v>
      </c>
    </row>
    <row r="13" spans="1:6" x14ac:dyDescent="0.25">
      <c r="A13" t="str">
        <f ca="1">select!C159</f>
        <v>Ash</v>
      </c>
      <c r="B13">
        <f>select!D159</f>
        <v>0.71</v>
      </c>
      <c r="C13">
        <f t="array" aca="1" ref="C13" ca="1">SUM(IF(A$1:A$39 &lt; A13,1))+ (A13="")*1000</f>
        <v>3</v>
      </c>
      <c r="E13" t="str">
        <f t="shared" ca="1" si="0"/>
        <v>Chestnut</v>
      </c>
      <c r="F13">
        <f t="array" aca="1" ref="F13" ca="1">INDIRECT("B"&amp;MATCH(SMALL(C$1:C$39,ROW()),C$1:C$39,0))</f>
        <v>0.56000000000000005</v>
      </c>
    </row>
    <row r="14" spans="1:6" x14ac:dyDescent="0.25">
      <c r="A14" t="str">
        <f ca="1">select!C160</f>
        <v>Aspen</v>
      </c>
      <c r="B14">
        <f>select!D160</f>
        <v>0.42</v>
      </c>
      <c r="C14">
        <f t="array" aca="1" ref="C14" ca="1">SUM(IF(A$1:A$39 &lt; A14,1))+ (A14="")*1000</f>
        <v>4</v>
      </c>
      <c r="E14" t="str">
        <f t="shared" ca="1" si="0"/>
        <v>Cottonwood</v>
      </c>
      <c r="F14">
        <f t="array" aca="1" ref="F14" ca="1">INDIRECT("B"&amp;MATCH(SMALL(C$1:C$39,ROW()),C$1:C$39,0))</f>
        <v>0.41</v>
      </c>
    </row>
    <row r="15" spans="1:6" x14ac:dyDescent="0.25">
      <c r="A15" t="str">
        <f ca="1">select!C161</f>
        <v>Spruce</v>
      </c>
      <c r="B15">
        <f>select!D161</f>
        <v>0.45</v>
      </c>
      <c r="C15">
        <f t="array" aca="1" ref="C15" ca="1">SUM(IF(A$1:A$39 &lt; A15,1))+ (A15="")*1000</f>
        <v>35</v>
      </c>
      <c r="E15" t="str">
        <f t="shared" ca="1" si="0"/>
        <v>Cypress</v>
      </c>
      <c r="F15">
        <f t="array" aca="1" ref="F15" ca="1">INDIRECT("B"&amp;MATCH(SMALL(C$1:C$39,ROW()),C$1:C$39,0))</f>
        <v>0.51</v>
      </c>
    </row>
    <row r="16" spans="1:6" x14ac:dyDescent="0.25">
      <c r="A16" t="str">
        <f ca="1">select!C162</f>
        <v>Gaboon</v>
      </c>
      <c r="B16">
        <f>select!D162</f>
        <v>0.43</v>
      </c>
      <c r="C16">
        <f t="array" aca="1" ref="C16" ca="1">SUM(IF(A$1:A$39 &lt; A16,1))+ (A16="")*1000</f>
        <v>19</v>
      </c>
      <c r="E16" t="str">
        <f t="shared" ca="1" si="0"/>
        <v>Douglas Fir</v>
      </c>
      <c r="F16">
        <f t="array" aca="1" ref="F16" ca="1">INDIRECT("B"&amp;MATCH(SMALL(C$1:C$39,ROW()),C$1:C$39,0))</f>
        <v>0.53</v>
      </c>
    </row>
    <row r="17" spans="1:6" x14ac:dyDescent="0.25">
      <c r="A17" t="str">
        <f ca="1">select!C163</f>
        <v>Hemlock</v>
      </c>
      <c r="B17">
        <f>select!D163</f>
        <v>0.5</v>
      </c>
      <c r="C17">
        <f t="array" aca="1" ref="C17" ca="1">SUM(IF(A$1:A$39 &lt; A17,1))+ (A17="")*1000</f>
        <v>20</v>
      </c>
      <c r="E17" t="str">
        <f t="shared" ca="1" si="0"/>
        <v>Ebony</v>
      </c>
      <c r="F17">
        <f t="array" aca="1" ref="F17" ca="1">INDIRECT("B"&amp;MATCH(SMALL(C$1:C$39,ROW()),C$1:C$39,0))</f>
        <v>1.3</v>
      </c>
    </row>
    <row r="18" spans="1:6" x14ac:dyDescent="0.25">
      <c r="A18" t="str">
        <f ca="1">select!C164</f>
        <v>Iroko</v>
      </c>
      <c r="B18">
        <f>select!D164</f>
        <v>0.66</v>
      </c>
      <c r="C18">
        <f t="array" aca="1" ref="C18" ca="1">SUM(IF(A$1:A$39 &lt; A18,1))+ (A18="")*1000</f>
        <v>22</v>
      </c>
      <c r="E18" t="str">
        <f t="shared" ca="1" si="0"/>
        <v>Elm</v>
      </c>
      <c r="F18">
        <f t="array" aca="1" ref="F18" ca="1">INDIRECT("B"&amp;MATCH(SMALL(C$1:C$39,ROW()),C$1:C$39,0))</f>
        <v>0.82</v>
      </c>
    </row>
    <row r="19" spans="1:6" x14ac:dyDescent="0.25">
      <c r="A19" t="str">
        <f ca="1">select!C165</f>
        <v>Chestnut</v>
      </c>
      <c r="B19">
        <f>select!D165</f>
        <v>0.56000000000000005</v>
      </c>
      <c r="C19">
        <f t="array" aca="1" ref="C19" ca="1">SUM(IF(A$1:A$39 &lt; A19,1))+ (A19="")*1000</f>
        <v>12</v>
      </c>
      <c r="E19" t="str">
        <f t="shared" ca="1" si="0"/>
        <v>Fir</v>
      </c>
      <c r="F19">
        <f t="array" aca="1" ref="F19" ca="1">INDIRECT("B"&amp;MATCH(SMALL(C$1:C$39,ROW()),C$1:C$39,0))</f>
        <v>0.41</v>
      </c>
    </row>
    <row r="20" spans="1:6" x14ac:dyDescent="0.25">
      <c r="A20" t="str">
        <f ca="1">select!C166</f>
        <v>Pine</v>
      </c>
      <c r="B20">
        <f>select!D166</f>
        <v>0.45</v>
      </c>
      <c r="C20">
        <f t="array" aca="1" ref="C20" ca="1">SUM(IF(A$1:A$39 &lt; A20,1))+ (A20="")*1000</f>
        <v>31</v>
      </c>
      <c r="E20" t="str">
        <f t="shared" ca="1" si="0"/>
        <v>Gaboon</v>
      </c>
      <c r="F20">
        <f t="array" aca="1" ref="F20" ca="1">INDIRECT("B"&amp;MATCH(SMALL(C$1:C$39,ROW()),C$1:C$39,0))</f>
        <v>0.43</v>
      </c>
    </row>
    <row r="21" spans="1:6" x14ac:dyDescent="0.25">
      <c r="A21" t="str">
        <f ca="1">select!C167</f>
        <v>Cherry</v>
      </c>
      <c r="B21">
        <f>select!D167</f>
        <v>0.63</v>
      </c>
      <c r="C21">
        <f t="array" aca="1" ref="C21" ca="1">SUM(IF(A$1:A$39 &lt; A21,1))+ (A21="")*1000</f>
        <v>11</v>
      </c>
      <c r="E21" t="str">
        <f t="shared" ca="1" si="0"/>
        <v>Hemlock</v>
      </c>
      <c r="F21">
        <f t="array" aca="1" ref="F21" ca="1">INDIRECT("B"&amp;MATCH(SMALL(C$1:C$39,ROW()),C$1:C$39,0))</f>
        <v>0.5</v>
      </c>
    </row>
    <row r="22" spans="1:6" x14ac:dyDescent="0.25">
      <c r="A22" t="str">
        <f ca="1">select!C168</f>
        <v>Larch</v>
      </c>
      <c r="B22">
        <f>select!D168</f>
        <v>0.55000000000000004</v>
      </c>
      <c r="C22">
        <f t="array" aca="1" ref="C22" ca="1">SUM(IF(A$1:A$39 &lt; A22,1))+ (A22="")*1000</f>
        <v>23</v>
      </c>
      <c r="E22" t="str">
        <f t="shared" ca="1" si="0"/>
        <v>Hickory</v>
      </c>
      <c r="F22">
        <f t="array" aca="1" ref="F22" ca="1">INDIRECT("B"&amp;MATCH(SMALL(C$1:C$39,ROW()),C$1:C$39,0))</f>
        <v>0.83</v>
      </c>
    </row>
    <row r="23" spans="1:6" x14ac:dyDescent="0.25">
      <c r="A23" t="str">
        <f ca="1">select!C169</f>
        <v>Mahogany</v>
      </c>
      <c r="B23">
        <f>select!D169</f>
        <v>0.85</v>
      </c>
      <c r="C23">
        <f t="array" aca="1" ref="C23" ca="1">SUM(IF(A$1:A$39 &lt; A23,1))+ (A23="")*1000</f>
        <v>26</v>
      </c>
      <c r="E23" t="str">
        <f t="shared" ca="1" si="0"/>
        <v>Iroko</v>
      </c>
      <c r="F23">
        <f t="array" aca="1" ref="F23" ca="1">INDIRECT("B"&amp;MATCH(SMALL(C$1:C$39,ROW()),C$1:C$39,0))</f>
        <v>0.66</v>
      </c>
    </row>
    <row r="24" spans="1:6" x14ac:dyDescent="0.25">
      <c r="A24" t="str">
        <f ca="1">select!C170</f>
        <v>Redwood</v>
      </c>
      <c r="B24">
        <f>select!D170</f>
        <v>0.51</v>
      </c>
      <c r="C24">
        <f t="array" aca="1" ref="C24" ca="1">SUM(IF(A$1:A$39 &lt; A24,1))+ (A24="")*1000</f>
        <v>34</v>
      </c>
      <c r="E24" t="str">
        <f t="shared" ca="1" si="0"/>
        <v>Larch</v>
      </c>
      <c r="F24">
        <f t="array" aca="1" ref="F24" ca="1">INDIRECT("B"&amp;MATCH(SMALL(C$1:C$39,ROW()),C$1:C$39,0))</f>
        <v>0.55000000000000004</v>
      </c>
    </row>
    <row r="25" spans="1:6" x14ac:dyDescent="0.25">
      <c r="A25" t="str">
        <f ca="1">select!C171</f>
        <v>Poplar</v>
      </c>
      <c r="B25">
        <f>select!D171</f>
        <v>0.5</v>
      </c>
      <c r="C25">
        <f t="array" aca="1" ref="C25" ca="1">SUM(IF(A$1:A$39 &lt; A25,1))+ (A25="")*1000</f>
        <v>32</v>
      </c>
      <c r="E25" t="str">
        <f t="shared" ca="1" si="0"/>
        <v>Lignum Vitae</v>
      </c>
      <c r="F25">
        <f t="array" aca="1" ref="F25" ca="1">INDIRECT("B"&amp;MATCH(SMALL(C$1:C$39,ROW()),C$1:C$39,0))</f>
        <v>1.33</v>
      </c>
    </row>
    <row r="26" spans="1:6" x14ac:dyDescent="0.25">
      <c r="A26" t="str">
        <f ca="1">select!C172</f>
        <v>Cottonwood</v>
      </c>
      <c r="B26">
        <f>select!D172</f>
        <v>0.41</v>
      </c>
      <c r="C26">
        <f t="array" aca="1" ref="C26" ca="1">SUM(IF(A$1:A$39 &lt; A26,1))+ (A26="")*1000</f>
        <v>13</v>
      </c>
      <c r="E26" t="str">
        <f t="shared" ca="1" si="0"/>
        <v>Locust</v>
      </c>
      <c r="F26">
        <f t="array" aca="1" ref="F26" ca="1">INDIRECT("B"&amp;MATCH(SMALL(C$1:C$39,ROW()),C$1:C$39,0))</f>
        <v>0.7</v>
      </c>
    </row>
    <row r="27" spans="1:6" x14ac:dyDescent="0.25">
      <c r="A27" t="str">
        <f ca="1">select!C173</f>
        <v>Pecan</v>
      </c>
      <c r="B27">
        <f>select!D173</f>
        <v>0.77</v>
      </c>
      <c r="C27">
        <f t="array" aca="1" ref="C27" ca="1">SUM(IF(A$1:A$39 &lt; A27,1))+ (A27="")*1000</f>
        <v>30</v>
      </c>
      <c r="E27" t="str">
        <f t="shared" ca="1" si="0"/>
        <v>Mahogany</v>
      </c>
      <c r="F27">
        <f t="array" aca="1" ref="F27" ca="1">INDIRECT("B"&amp;MATCH(SMALL(C$1:C$39,ROW()),C$1:C$39,0))</f>
        <v>0.85</v>
      </c>
    </row>
    <row r="28" spans="1:6" x14ac:dyDescent="0.25">
      <c r="A28" t="str">
        <f ca="1">select!C174</f>
        <v>Sycamore</v>
      </c>
      <c r="B28">
        <f>select!D174</f>
        <v>0.6</v>
      </c>
      <c r="C28">
        <f t="array" aca="1" ref="C28" ca="1">SUM(IF(A$1:A$39 &lt; A28,1))+ (A28="")*1000</f>
        <v>36</v>
      </c>
      <c r="E28" t="str">
        <f t="shared" ca="1" si="0"/>
        <v>Maple</v>
      </c>
      <c r="F28">
        <f t="array" aca="1" ref="F28" ca="1">INDIRECT("B"&amp;MATCH(SMALL(C$1:C$39,ROW()),C$1:C$39,0))</f>
        <v>0.75</v>
      </c>
    </row>
    <row r="29" spans="1:6" x14ac:dyDescent="0.25">
      <c r="A29" t="str">
        <f ca="1">select!C175</f>
        <v>Lignum Vitae</v>
      </c>
      <c r="B29">
        <f>select!D175</f>
        <v>1.33</v>
      </c>
      <c r="C29">
        <f t="array" aca="1" ref="C29" ca="1">SUM(IF(A$1:A$39 &lt; A29,1))+ (A29="")*1000</f>
        <v>24</v>
      </c>
      <c r="E29" t="str">
        <f t="shared" ca="1" si="0"/>
        <v>Particle Board</v>
      </c>
      <c r="F29">
        <f t="array" aca="1" ref="F29" ca="1">INDIRECT("B"&amp;MATCH(SMALL(C$1:C$39,ROW()),C$1:C$39,0))</f>
        <v>0.65</v>
      </c>
    </row>
    <row r="30" spans="1:6" x14ac:dyDescent="0.25">
      <c r="A30" t="str">
        <f ca="1">select!C176</f>
        <v>Ramin</v>
      </c>
      <c r="B30">
        <f>select!D176</f>
        <v>0.67</v>
      </c>
      <c r="C30">
        <f t="array" aca="1" ref="C30" ca="1">SUM(IF(A$1:A$39 &lt; A30,1))+ (A30="")*1000</f>
        <v>33</v>
      </c>
      <c r="E30" t="str">
        <f t="shared" ca="1" si="0"/>
        <v>Pear</v>
      </c>
      <c r="F30">
        <f t="array" aca="1" ref="F30" ca="1">INDIRECT("B"&amp;MATCH(SMALL(C$1:C$39,ROW()),C$1:C$39,0))</f>
        <v>0.7</v>
      </c>
    </row>
    <row r="31" spans="1:6" x14ac:dyDescent="0.25">
      <c r="A31" t="str">
        <f ca="1">select!C177</f>
        <v>Locust</v>
      </c>
      <c r="B31">
        <f>select!D177</f>
        <v>0.7</v>
      </c>
      <c r="C31">
        <f t="array" aca="1" ref="C31" ca="1">SUM(IF(A$1:A$39 &lt; A31,1))+ (A31="")*1000</f>
        <v>25</v>
      </c>
      <c r="E31" t="str">
        <f t="shared" ca="1" si="0"/>
        <v>Pecan</v>
      </c>
      <c r="F31">
        <f t="array" aca="1" ref="F31" ca="1">INDIRECT("B"&amp;MATCH(SMALL(C$1:C$39,ROW()),C$1:C$39,0))</f>
        <v>0.77</v>
      </c>
    </row>
    <row r="32" spans="1:6" x14ac:dyDescent="0.25">
      <c r="A32" t="str">
        <f ca="1">select!C178</f>
        <v>Particle Board</v>
      </c>
      <c r="B32">
        <f>select!D178</f>
        <v>0.65</v>
      </c>
      <c r="C32">
        <f t="array" aca="1" ref="C32" ca="1">SUM(IF(A$1:A$39 &lt; A32,1))+ (A32="")*1000</f>
        <v>28</v>
      </c>
      <c r="E32" t="str">
        <f t="shared" ca="1" si="0"/>
        <v>Pine</v>
      </c>
      <c r="F32">
        <f t="array" aca="1" ref="F32" ca="1">INDIRECT("B"&amp;MATCH(SMALL(C$1:C$39,ROW()),C$1:C$39,0))</f>
        <v>0.45</v>
      </c>
    </row>
    <row r="33" spans="1:6" x14ac:dyDescent="0.25">
      <c r="A33" t="str">
        <f ca="1">select!C179</f>
        <v>Fir</v>
      </c>
      <c r="B33">
        <f>select!D179</f>
        <v>0.41</v>
      </c>
      <c r="C33">
        <f t="array" aca="1" ref="C33" ca="1">SUM(IF(A$1:A$39 &lt; A33,1))+ (A33="")*1000</f>
        <v>18</v>
      </c>
      <c r="E33" t="str">
        <f t="shared" ca="1" si="0"/>
        <v>Poplar</v>
      </c>
      <c r="F33">
        <f t="array" aca="1" ref="F33" ca="1">INDIRECT("B"&amp;MATCH(SMALL(C$1:C$39,ROW()),C$1:C$39,0))</f>
        <v>0.5</v>
      </c>
    </row>
    <row r="34" spans="1:6" x14ac:dyDescent="0.25">
      <c r="A34" t="str">
        <f ca="1">select!C180</f>
        <v>Teak</v>
      </c>
      <c r="B34">
        <f>select!D180</f>
        <v>0.98</v>
      </c>
      <c r="C34">
        <f t="array" aca="1" ref="C34" ca="1">SUM(IF(A$1:A$39 &lt; A34,1))+ (A34="")*1000</f>
        <v>37</v>
      </c>
      <c r="E34" t="str">
        <f t="shared" ca="1" si="0"/>
        <v>Ramin</v>
      </c>
      <c r="F34">
        <f t="array" aca="1" ref="F34" ca="1">INDIRECT("B"&amp;MATCH(SMALL(C$1:C$39,ROW()),C$1:C$39,0))</f>
        <v>0.67</v>
      </c>
    </row>
    <row r="35" spans="1:6" x14ac:dyDescent="0.25">
      <c r="A35" t="str">
        <f ca="1">select!C181</f>
        <v>Elm</v>
      </c>
      <c r="B35">
        <f>select!D181</f>
        <v>0.82</v>
      </c>
      <c r="C35">
        <f t="array" aca="1" ref="C35" ca="1">SUM(IF(A$1:A$39 &lt; A35,1))+ (A35="")*1000</f>
        <v>17</v>
      </c>
      <c r="E35" t="str">
        <f t="shared" ca="1" si="0"/>
        <v>Redwood</v>
      </c>
      <c r="F35">
        <f t="array" aca="1" ref="F35" ca="1">INDIRECT("B"&amp;MATCH(SMALL(C$1:C$39,ROW()),C$1:C$39,0))</f>
        <v>0.51</v>
      </c>
    </row>
    <row r="36" spans="1:6" x14ac:dyDescent="0.25">
      <c r="A36" t="str">
        <f ca="1">select!C182</f>
        <v>Hickory</v>
      </c>
      <c r="B36">
        <f>select!D182</f>
        <v>0.83</v>
      </c>
      <c r="C36">
        <f t="array" aca="1" ref="C36" ca="1">SUM(IF(A$1:A$39 &lt; A36,1))+ (A36="")*1000</f>
        <v>21</v>
      </c>
      <c r="E36" t="str">
        <f t="shared" ca="1" si="0"/>
        <v>Spruce</v>
      </c>
      <c r="F36">
        <f t="array" aca="1" ref="F36" ca="1">INDIRECT("B"&amp;MATCH(SMALL(C$1:C$39,ROW()),C$1:C$39,0))</f>
        <v>0.45</v>
      </c>
    </row>
    <row r="37" spans="1:6" x14ac:dyDescent="0.25">
      <c r="A37" t="str">
        <f ca="1">select!C183</f>
        <v>Willow</v>
      </c>
      <c r="B37">
        <f>select!D183</f>
        <v>0.6</v>
      </c>
      <c r="C37">
        <f t="array" aca="1" ref="C37" ca="1">SUM(IF(A$1:A$39 &lt; A37,1))+ (A37="")*1000</f>
        <v>38</v>
      </c>
      <c r="E37" t="str">
        <f t="shared" ca="1" si="0"/>
        <v>Sycamore</v>
      </c>
      <c r="F37">
        <f t="array" aca="1" ref="F37" ca="1">INDIRECT("B"&amp;MATCH(SMALL(C$1:C$39,ROW()),C$1:C$39,0))</f>
        <v>0.6</v>
      </c>
    </row>
    <row r="38" spans="1:6" x14ac:dyDescent="0.25">
      <c r="A38" t="str">
        <f ca="1">select!C184</f>
        <v>Cedar</v>
      </c>
      <c r="B38">
        <f>select!D184</f>
        <v>0.57999999999999996</v>
      </c>
      <c r="C38">
        <f t="array" aca="1" ref="C38" ca="1">SUM(IF(A$1:A$39 &lt; A38,1))+ (A38="")*1000</f>
        <v>10</v>
      </c>
      <c r="E38" t="str">
        <f t="shared" ca="1" si="0"/>
        <v>Teak</v>
      </c>
      <c r="F38">
        <f t="array" aca="1" ref="F38" ca="1">INDIRECT("B"&amp;MATCH(SMALL(C$1:C$39,ROW()),C$1:C$39,0))</f>
        <v>0.98</v>
      </c>
    </row>
    <row r="39" spans="1:6" x14ac:dyDescent="0.25">
      <c r="A39" t="str">
        <f ca="1">select!C185</f>
        <v>Cypress</v>
      </c>
      <c r="B39">
        <f>select!D185</f>
        <v>0.51</v>
      </c>
      <c r="C39">
        <f t="array" aca="1" ref="C39" ca="1">SUM(IF(A$1:A$39 &lt; A39,1))+ (A39="")*1000</f>
        <v>14</v>
      </c>
      <c r="E39" t="str">
        <f t="shared" ca="1" si="0"/>
        <v>Willow</v>
      </c>
      <c r="F39">
        <f t="array" aca="1" ref="F39" ca="1">INDIRECT("B"&amp;MATCH(SMALL(C$1:C$39,ROW()),C$1:C$39,0))</f>
        <v>0.6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Selector</vt:lpstr>
      <vt:lpstr>Türgewicht</vt:lpstr>
      <vt:lpstr>Sprache</vt:lpstr>
    </vt:vector>
  </TitlesOfParts>
  <Manager>www.sys33.de</Manager>
  <Company>SYS33 EDV Dienstleistung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TIOMOS Selector</dc:title>
  <dc:creator>Harald Nitz;www.sys33.de</dc:creator>
  <cp:lastModifiedBy>Harald, Kueper</cp:lastModifiedBy>
  <dcterms:created xsi:type="dcterms:W3CDTF">2014-07-21T19:45:28Z</dcterms:created>
  <dcterms:modified xsi:type="dcterms:W3CDTF">2015-03-17T07:37:35Z</dcterms:modified>
</cp:coreProperties>
</file>